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O:\DFG\REFINANCEMENT\CN1 - BPCE SFH\REPORTING MENSUEL\2026\202607\"/>
    </mc:Choice>
  </mc:AlternateContent>
  <xr:revisionPtr revIDLastSave="0" documentId="13_ncr:1_{7448103E-6137-4AA3-A723-62C22EEB67A6}" xr6:coauthVersionLast="47" xr6:coauthVersionMax="47" xr10:uidLastSave="{00000000-0000-0000-0000-000000000000}"/>
  <bookViews>
    <workbookView xWindow="-108" yWindow="-108" windowWidth="23256" windowHeight="12456" tabRatio="918" firstSheet="6" activeTab="11" xr2:uid="{E3683CC2-8208-4904-89C2-6DE70A8A77E1}"/>
  </bookViews>
  <sheets>
    <sheet name="Disclaimer" sheetId="31" r:id="rId1"/>
    <sheet name="Introduction" sheetId="22" r:id="rId2"/>
    <sheet name="Completion Instructions" sheetId="58" r:id="rId3"/>
    <sheet name="FAQ" sheetId="59" r:id="rId4"/>
    <sheet name="A. HTT General" sheetId="72" r:id="rId5"/>
    <sheet name="B1. HTT Mortgage Assets" sheetId="73" r:id="rId6"/>
    <sheet name="B2. HTT Public Sector Assets" sheetId="56" r:id="rId7"/>
    <sheet name="B3. HTT Shipping Assets" sheetId="57" r:id="rId8"/>
    <sheet name="C. HTT Harmonised Glossary" sheetId="11" r:id="rId9"/>
    <sheet name="UF1S" sheetId="69" state="hidden" r:id="rId10"/>
    <sheet name="Cube" sheetId="70" state="hidden" r:id="rId11"/>
    <sheet name="D1.Overview" sheetId="44" r:id="rId12"/>
    <sheet name="D2.Residential" sheetId="45" r:id="rId13"/>
    <sheet name="D3.Public sector" sheetId="46" r:id="rId14"/>
    <sheet name="D4.Covered bonds" sheetId="47" r:id="rId15"/>
    <sheet name="D5.Explanations" sheetId="48" r:id="rId16"/>
    <sheet name="E. Optional ECB-ECAIs data" sheetId="55" r:id="rId17"/>
    <sheet name="F1. Sustainable M data" sheetId="71" r:id="rId18"/>
    <sheet name="E.g. General" sheetId="65" r:id="rId19"/>
    <sheet name="E.g. Other" sheetId="66" r:id="rId20"/>
    <sheet name="Passif_Global" sheetId="50" state="hidden" r:id="rId21"/>
    <sheet name="Report externe Asset Cover Test" sheetId="52" state="hidden" r:id="rId22"/>
  </sheets>
  <definedNames>
    <definedName name="_xlnm._FilterDatabase" localSheetId="10" hidden="1">Cube!$A$1:$K$1959</definedName>
    <definedName name="acceptable_use_policy" localSheetId="0">Disclaimer!#REF!</definedName>
    <definedName name="general_tc" localSheetId="0">Disclaimer!$A$61</definedName>
    <definedName name="_xlnm.Print_Titles" localSheetId="0">Disclaimer!2:2</definedName>
    <definedName name="privacy_policy" localSheetId="0">Disclaimer!$A$136</definedName>
    <definedName name="_xlnm.Print_Area" localSheetId="8">'C. HTT Harmonised Glossary'!$A$1:$C$57</definedName>
    <definedName name="_xlnm.Print_Area" localSheetId="11">'D1.Overview'!$A$1:$J$184</definedName>
    <definedName name="_xlnm.Print_Area" localSheetId="12">'D2.Residential'!$A$1:$M$209</definedName>
    <definedName name="_xlnm.Print_Area" localSheetId="13">'D3.Public sector'!$A$1:$O$152</definedName>
    <definedName name="_xlnm.Print_Area" localSheetId="14">'D4.Covered bonds'!$A$1:$H$49</definedName>
    <definedName name="_xlnm.Print_Area" localSheetId="15">'D5.Explanations'!$A$1:$I$121</definedName>
    <definedName name="_xlnm.Print_Area" localSheetId="0">Disclaimer!$A$1:$A$170</definedName>
    <definedName name="_xlnm.Print_Area" localSheetId="1">Introduction!$B$2:$J$43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72" l="1"/>
  <c r="C38" i="72" a="1"/>
  <c r="C38" i="72" s="1"/>
  <c r="C39" i="72" a="1"/>
  <c r="C39" i="72" s="1"/>
  <c r="C138" i="72" s="1"/>
  <c r="C157" i="72" s="1"/>
  <c r="F58" i="72"/>
  <c r="F131" i="72"/>
  <c r="G131" i="72"/>
  <c r="F157" i="72"/>
  <c r="G157" i="72"/>
  <c r="C164" i="72" a="1"/>
  <c r="C164" i="72" s="1"/>
  <c r="C165" i="72" a="1"/>
  <c r="C165" i="72" s="1"/>
  <c r="G177" i="72"/>
  <c r="G178" i="72"/>
  <c r="G179" i="72"/>
  <c r="F180" i="72"/>
  <c r="G180" i="72"/>
  <c r="F181" i="72"/>
  <c r="G181" i="72"/>
  <c r="F182" i="72"/>
  <c r="G182" i="72"/>
  <c r="F208" i="72"/>
  <c r="F209" i="72"/>
  <c r="G217" i="72"/>
  <c r="F221" i="72"/>
  <c r="G221" i="72"/>
  <c r="F222" i="72"/>
  <c r="G222" i="72"/>
  <c r="F223" i="72"/>
  <c r="G223" i="72"/>
  <c r="F224" i="72"/>
  <c r="G224" i="72"/>
  <c r="F225" i="72"/>
  <c r="G225" i="72"/>
  <c r="F226" i="72"/>
  <c r="G226" i="72"/>
  <c r="F227" i="72"/>
  <c r="G227" i="72"/>
  <c r="F1" i="73"/>
  <c r="C12" i="73" a="1"/>
  <c r="C12" i="73" s="1"/>
  <c r="C36" i="73" s="1" a="1"/>
  <c r="C36" i="73" s="1"/>
  <c r="F36" i="73" s="1"/>
  <c r="C28" i="73" a="1"/>
  <c r="C28" i="73" s="1"/>
  <c r="F28" i="73" s="1"/>
  <c r="C99" i="73" a="1"/>
  <c r="C99" i="73" s="1"/>
  <c r="F99" i="73" s="1"/>
  <c r="C100" i="73" a="1"/>
  <c r="C100" i="73" s="1"/>
  <c r="F100" i="73" s="1"/>
  <c r="C101" i="73" a="1"/>
  <c r="C101" i="73" s="1"/>
  <c r="F101" i="73" s="1"/>
  <c r="C102" i="73" a="1"/>
  <c r="C102" i="73" s="1"/>
  <c r="F102" i="73" s="1"/>
  <c r="C103" i="73" a="1"/>
  <c r="C103" i="73" s="1"/>
  <c r="F103" i="73" s="1"/>
  <c r="C104" i="73" a="1"/>
  <c r="C104" i="73" s="1"/>
  <c r="F104" i="73" s="1"/>
  <c r="C105" i="73" a="1"/>
  <c r="C105" i="73" s="1"/>
  <c r="F105" i="73" s="1"/>
  <c r="C106" i="73" a="1"/>
  <c r="C106" i="73" s="1"/>
  <c r="F106" i="73" s="1"/>
  <c r="C107" i="73" a="1"/>
  <c r="C107" i="73" s="1"/>
  <c r="F107" i="73" s="1"/>
  <c r="C108" i="73" a="1"/>
  <c r="C108" i="73" s="1"/>
  <c r="F108" i="73" s="1"/>
  <c r="C109" i="73" a="1"/>
  <c r="C109" i="73" s="1"/>
  <c r="F109" i="73" s="1"/>
  <c r="C110" i="73" a="1"/>
  <c r="C110" i="73" s="1"/>
  <c r="F110" i="73" s="1"/>
  <c r="C111" i="73" a="1"/>
  <c r="C111" i="73" s="1"/>
  <c r="F111" i="73" s="1"/>
  <c r="C112" i="73" a="1"/>
  <c r="C112" i="73" s="1"/>
  <c r="F112" i="73" s="1"/>
  <c r="C114" i="73" a="1"/>
  <c r="C114" i="73" s="1"/>
  <c r="F114" i="73" s="1"/>
  <c r="C115" i="73" a="1"/>
  <c r="C115" i="73" s="1"/>
  <c r="F115" i="73" s="1"/>
  <c r="C150" i="73" a="1"/>
  <c r="C150" i="73" s="1"/>
  <c r="F150" i="73" s="1"/>
  <c r="C151" i="73" a="1"/>
  <c r="C151" i="73" s="1"/>
  <c r="F151" i="73" s="1"/>
  <c r="C152" i="73" a="1"/>
  <c r="C152" i="73" s="1"/>
  <c r="F152" i="73" s="1"/>
  <c r="F160" i="73"/>
  <c r="F161" i="73"/>
  <c r="F162" i="73"/>
  <c r="C170" i="73" a="1"/>
  <c r="C170" i="73" s="1"/>
  <c r="F170" i="73" s="1"/>
  <c r="C171" i="73" a="1"/>
  <c r="C171" i="73" s="1"/>
  <c r="F171" i="73" s="1"/>
  <c r="C172" i="73" a="1"/>
  <c r="C172" i="73" s="1"/>
  <c r="F172" i="73" s="1"/>
  <c r="C173" i="73" a="1"/>
  <c r="C173" i="73" s="1"/>
  <c r="F173" i="73" s="1"/>
  <c r="C174" i="73" a="1"/>
  <c r="C174" i="73" s="1"/>
  <c r="F174" i="73" s="1"/>
  <c r="F180" i="73"/>
  <c r="C187" i="73" a="1"/>
  <c r="C187" i="73" s="1"/>
  <c r="D187" i="73" a="1"/>
  <c r="D187" i="73" s="1"/>
  <c r="C190" i="73" a="1"/>
  <c r="C190" i="73" s="1"/>
  <c r="D190" i="73" a="1"/>
  <c r="D190" i="73" s="1"/>
  <c r="C191" i="73" a="1"/>
  <c r="C191" i="73" s="1"/>
  <c r="D191" i="73" a="1"/>
  <c r="D191" i="73" s="1"/>
  <c r="C192" i="73" a="1"/>
  <c r="C192" i="73" s="1"/>
  <c r="D192" i="73" a="1"/>
  <c r="D192" i="73" s="1"/>
  <c r="C193" i="73" a="1"/>
  <c r="C193" i="73" s="1"/>
  <c r="D193" i="73" a="1"/>
  <c r="D193" i="73" s="1"/>
  <c r="C194" i="73" a="1"/>
  <c r="C194" i="73" s="1"/>
  <c r="D194" i="73" a="1"/>
  <c r="D194" i="73" s="1"/>
  <c r="C195" i="73" a="1"/>
  <c r="C195" i="73" s="1"/>
  <c r="D195" i="73" a="1"/>
  <c r="D195" i="73" s="1"/>
  <c r="C216" i="73" a="1"/>
  <c r="C216" i="73" s="1"/>
  <c r="C219" i="73" a="1"/>
  <c r="C219" i="73" s="1"/>
  <c r="D219" i="73" a="1"/>
  <c r="D219" i="73" s="1"/>
  <c r="C220" i="73" a="1"/>
  <c r="C220" i="73" s="1"/>
  <c r="D220" i="73" a="1"/>
  <c r="D220" i="73" s="1"/>
  <c r="C221" i="73" a="1"/>
  <c r="C221" i="73" s="1"/>
  <c r="D221" i="73" a="1"/>
  <c r="D221" i="73" s="1"/>
  <c r="C222" i="73" a="1"/>
  <c r="C222" i="73" s="1"/>
  <c r="D222" i="73" a="1"/>
  <c r="D222" i="73" s="1"/>
  <c r="C223" i="73" a="1"/>
  <c r="C223" i="73" s="1"/>
  <c r="D223" i="73" a="1"/>
  <c r="D223" i="73" s="1"/>
  <c r="C224" i="73" a="1"/>
  <c r="C224" i="73" s="1"/>
  <c r="D224" i="73" a="1"/>
  <c r="D224" i="73" s="1"/>
  <c r="C225" i="73" a="1"/>
  <c r="C225" i="73" s="1"/>
  <c r="D225" i="73" a="1"/>
  <c r="D225" i="73" s="1"/>
  <c r="C226" i="73" a="1"/>
  <c r="C226" i="73" s="1"/>
  <c r="D226" i="73" a="1"/>
  <c r="D226" i="73" s="1"/>
  <c r="C238" i="73" a="1"/>
  <c r="C238" i="73" s="1"/>
  <c r="C241" i="73" a="1"/>
  <c r="C241" i="73" s="1"/>
  <c r="D241" i="73" a="1"/>
  <c r="D241" i="73" s="1"/>
  <c r="C242" i="73" a="1"/>
  <c r="C242" i="73" s="1"/>
  <c r="D242" i="73" a="1"/>
  <c r="D242" i="73" s="1"/>
  <c r="C243" i="73" a="1"/>
  <c r="C243" i="73" s="1"/>
  <c r="D243" i="73" a="1"/>
  <c r="D243" i="73" s="1"/>
  <c r="C244" i="73" a="1"/>
  <c r="C244" i="73" s="1"/>
  <c r="D244" i="73" a="1"/>
  <c r="D244" i="73" s="1"/>
  <c r="C245" i="73" a="1"/>
  <c r="C245" i="73" s="1"/>
  <c r="D245" i="73" a="1"/>
  <c r="D245" i="73" s="1"/>
  <c r="C246" i="73" a="1"/>
  <c r="C246" i="73" s="1"/>
  <c r="D246" i="73" a="1"/>
  <c r="D246" i="73" s="1"/>
  <c r="C247" i="73" a="1"/>
  <c r="C247" i="73" s="1"/>
  <c r="D247" i="73" a="1"/>
  <c r="D247" i="73" s="1"/>
  <c r="C248" i="73" a="1"/>
  <c r="C248" i="73" s="1"/>
  <c r="D248" i="73" a="1"/>
  <c r="D248" i="73" s="1"/>
  <c r="C260" i="73" a="1"/>
  <c r="C260" i="73" s="1"/>
  <c r="C261" i="73" a="1"/>
  <c r="C261" i="73" s="1"/>
  <c r="C262" i="73" a="1"/>
  <c r="C262" i="73" s="1"/>
  <c r="C277" i="73" a="1"/>
  <c r="C277" i="73" s="1"/>
  <c r="C278" i="73" a="1"/>
  <c r="C278" i="73" s="1"/>
  <c r="F1" i="56"/>
  <c r="C37" i="56"/>
  <c r="F22" i="56" s="1"/>
  <c r="D37" i="56"/>
  <c r="G22" i="56" s="1"/>
  <c r="C42" i="56"/>
  <c r="F41" i="56" s="1"/>
  <c r="C77" i="56"/>
  <c r="C81" i="56"/>
  <c r="C152" i="56"/>
  <c r="F153" i="56" s="1"/>
  <c r="F1" i="57"/>
  <c r="C54" i="57"/>
  <c r="C58" i="57"/>
  <c r="C144" i="57"/>
  <c r="F122" i="57" s="1"/>
  <c r="D144" i="57"/>
  <c r="G120" i="57" s="1"/>
  <c r="C157" i="57"/>
  <c r="F154" i="57" s="1"/>
  <c r="D157" i="57"/>
  <c r="G153" i="57" s="1"/>
  <c r="C179" i="57"/>
  <c r="F173" i="57" s="1"/>
  <c r="D179" i="57"/>
  <c r="G171" i="57" s="1"/>
  <c r="C1" i="11"/>
  <c r="C4" i="45"/>
  <c r="C66" i="72"/>
  <c r="D89" i="72"/>
  <c r="C89" i="72"/>
  <c r="D93" i="72"/>
  <c r="D94" i="72"/>
  <c r="D95" i="72"/>
  <c r="D96" i="72"/>
  <c r="D97" i="72"/>
  <c r="D98" i="72"/>
  <c r="D99" i="72"/>
  <c r="C71" i="72"/>
  <c r="C72" i="72"/>
  <c r="C73" i="72"/>
  <c r="C74" i="72"/>
  <c r="C75" i="72"/>
  <c r="C76" i="72"/>
  <c r="C93" i="72"/>
  <c r="C94" i="72"/>
  <c r="C95" i="72"/>
  <c r="C96" i="72"/>
  <c r="C97" i="72"/>
  <c r="C98" i="72"/>
  <c r="C99" i="72"/>
  <c r="C177" i="72"/>
  <c r="C174" i="72"/>
  <c r="D33" i="45" a="1"/>
  <c r="D33" i="45" s="1"/>
  <c r="D34" i="45" a="1"/>
  <c r="D34" i="45" s="1"/>
  <c r="D35" i="45" a="1"/>
  <c r="D35" i="45" s="1"/>
  <c r="D36" i="45" a="1"/>
  <c r="D36" i="45" s="1"/>
  <c r="D37" i="45" a="1"/>
  <c r="D37" i="45" s="1"/>
  <c r="D38" i="45" a="1"/>
  <c r="D38" i="45" s="1"/>
  <c r="D39" i="45" a="1"/>
  <c r="D39" i="45" s="1"/>
  <c r="D40" i="45" a="1"/>
  <c r="D40" i="45" s="1"/>
  <c r="D41" i="45" a="1"/>
  <c r="D41" i="45" s="1"/>
  <c r="D42" i="45" a="1"/>
  <c r="D42" i="45" s="1"/>
  <c r="D43" i="45" a="1"/>
  <c r="D43" i="45" s="1"/>
  <c r="D44" i="45" a="1"/>
  <c r="D44" i="45" s="1"/>
  <c r="D45" i="45" a="1"/>
  <c r="D45" i="45" s="1"/>
  <c r="D46" i="45" a="1"/>
  <c r="D46" i="45" s="1"/>
  <c r="D47" i="45" a="1"/>
  <c r="D47" i="45" s="1"/>
  <c r="D48" i="45" a="1"/>
  <c r="D48" i="45" s="1"/>
  <c r="D49" i="45" a="1"/>
  <c r="D49" i="45" s="1"/>
  <c r="D50" i="45" a="1"/>
  <c r="D50" i="45" s="1"/>
  <c r="D51" i="45" a="1"/>
  <c r="D51" i="45" s="1"/>
  <c r="D52" i="45" a="1"/>
  <c r="D52" i="45" s="1"/>
  <c r="D53" i="45" a="1"/>
  <c r="D53" i="45" s="1"/>
  <c r="D54" i="45" a="1"/>
  <c r="D54" i="45" s="1"/>
  <c r="D55" i="45" a="1"/>
  <c r="D55" i="45" s="1"/>
  <c r="D57" i="45" a="1"/>
  <c r="D57" i="45" s="1"/>
  <c r="D58" i="45" a="1"/>
  <c r="D58" i="45" s="1"/>
  <c r="D63" i="45" a="1"/>
  <c r="D63" i="45" s="1"/>
  <c r="D66" i="45" a="1"/>
  <c r="D66" i="45" s="1"/>
  <c r="F66" i="45" a="1"/>
  <c r="F66" i="45" s="1"/>
  <c r="D67" i="45" a="1"/>
  <c r="D67" i="45" s="1"/>
  <c r="F67" i="45" a="1"/>
  <c r="F67" i="45" s="1"/>
  <c r="D68" i="45" a="1"/>
  <c r="D68" i="45" s="1"/>
  <c r="F68" i="45" a="1"/>
  <c r="F68" i="45" s="1"/>
  <c r="D69" i="45" a="1"/>
  <c r="D69" i="45" s="1"/>
  <c r="F69" i="45" a="1"/>
  <c r="F69" i="45" s="1"/>
  <c r="D70" i="45" a="1"/>
  <c r="D70" i="45" s="1"/>
  <c r="F70" i="45" a="1"/>
  <c r="F70" i="45" s="1"/>
  <c r="D71" i="45" a="1"/>
  <c r="D71" i="45" s="1"/>
  <c r="F71" i="45" a="1"/>
  <c r="F71" i="45" s="1"/>
  <c r="D72" i="45" a="1"/>
  <c r="D72" i="45" s="1"/>
  <c r="F72" i="45" a="1"/>
  <c r="F72" i="45" s="1"/>
  <c r="D73" i="45" a="1"/>
  <c r="D73" i="45" s="1"/>
  <c r="F73" i="45" a="1"/>
  <c r="F73" i="45" s="1"/>
  <c r="D74" i="45" a="1"/>
  <c r="D74" i="45" s="1"/>
  <c r="F74" i="45" a="1"/>
  <c r="F74" i="45" s="1"/>
  <c r="D75" i="45" a="1"/>
  <c r="D75" i="45" s="1"/>
  <c r="F75" i="45" a="1"/>
  <c r="F75" i="45" s="1"/>
  <c r="D76" i="45" a="1"/>
  <c r="D76" i="45" s="1"/>
  <c r="F76" i="45" a="1"/>
  <c r="F76" i="45" s="1"/>
  <c r="D77" i="45" a="1"/>
  <c r="D77" i="45" s="1"/>
  <c r="F77" i="45" a="1"/>
  <c r="F77" i="45" s="1"/>
  <c r="D78" i="45" a="1"/>
  <c r="D78" i="45" s="1"/>
  <c r="F78" i="45" a="1"/>
  <c r="F78" i="45" s="1"/>
  <c r="D83" i="45" a="1"/>
  <c r="D83" i="45" s="1"/>
  <c r="D86" i="45" a="1"/>
  <c r="D86" i="45" s="1"/>
  <c r="F86" i="45" a="1"/>
  <c r="F86" i="45" s="1"/>
  <c r="D87" i="45" a="1"/>
  <c r="D87" i="45" s="1"/>
  <c r="F87" i="45" a="1"/>
  <c r="F87" i="45" s="1"/>
  <c r="D88" i="45" a="1"/>
  <c r="D88" i="45" s="1"/>
  <c r="F88" i="45" a="1"/>
  <c r="F88" i="45" s="1"/>
  <c r="D89" i="45" a="1"/>
  <c r="D89" i="45" s="1"/>
  <c r="F89" i="45" a="1"/>
  <c r="F89" i="45" s="1"/>
  <c r="D90" i="45" a="1"/>
  <c r="D90" i="45" s="1"/>
  <c r="F90" i="45" a="1"/>
  <c r="F90" i="45" s="1"/>
  <c r="D91" i="45" a="1"/>
  <c r="D91" i="45" s="1"/>
  <c r="F91" i="45" a="1"/>
  <c r="F91" i="45" s="1"/>
  <c r="D92" i="45" a="1"/>
  <c r="D92" i="45" s="1"/>
  <c r="F92" i="45" a="1"/>
  <c r="F92" i="45" s="1"/>
  <c r="D93" i="45" a="1"/>
  <c r="D93" i="45" s="1"/>
  <c r="F93" i="45" a="1"/>
  <c r="F93" i="45" s="1"/>
  <c r="D94" i="45" a="1"/>
  <c r="D94" i="45" s="1"/>
  <c r="F94" i="45" a="1"/>
  <c r="F94" i="45" s="1"/>
  <c r="D95" i="45" a="1"/>
  <c r="D95" i="45" s="1"/>
  <c r="F95" i="45" a="1"/>
  <c r="F95" i="45" s="1"/>
  <c r="D96" i="45" a="1"/>
  <c r="D96" i="45" s="1"/>
  <c r="F96" i="45" a="1"/>
  <c r="F96" i="45" s="1"/>
  <c r="D97" i="45" a="1"/>
  <c r="D97" i="45" s="1"/>
  <c r="F97" i="45" a="1"/>
  <c r="F97" i="45" s="1"/>
  <c r="D98" i="45" a="1"/>
  <c r="D98" i="45" s="1"/>
  <c r="F98" i="45" a="1"/>
  <c r="F98" i="45" s="1"/>
  <c r="E104" i="45" a="1"/>
  <c r="E104" i="45" s="1"/>
  <c r="E105" i="45" a="1"/>
  <c r="E105" i="45" s="1"/>
  <c r="E107" i="45" a="1"/>
  <c r="E107" i="45" s="1"/>
  <c r="E108" i="45" a="1"/>
  <c r="E108" i="45" s="1"/>
  <c r="E109" i="45" a="1"/>
  <c r="E109" i="45" s="1"/>
  <c r="E110" i="45" a="1"/>
  <c r="E110" i="45" s="1"/>
  <c r="C117" i="45" a="1"/>
  <c r="C117" i="45" s="1"/>
  <c r="C118" i="45" a="1"/>
  <c r="C118" i="45" s="1"/>
  <c r="C119" i="45" a="1"/>
  <c r="C119" i="45" s="1"/>
  <c r="C120" i="45" a="1"/>
  <c r="C120" i="45" s="1"/>
  <c r="C121" i="45" a="1"/>
  <c r="C121" i="45" s="1"/>
  <c r="C127" i="45" a="1"/>
  <c r="C127" i="45" s="1"/>
  <c r="C128" i="45" a="1"/>
  <c r="C128" i="45" s="1"/>
  <c r="C129" i="45" a="1"/>
  <c r="C129" i="45" s="1"/>
  <c r="C130" i="45" a="1"/>
  <c r="C130" i="45" s="1"/>
  <c r="C131" i="45" a="1"/>
  <c r="C131" i="45" s="1"/>
  <c r="C147" i="45" a="1"/>
  <c r="C147" i="45" s="1"/>
  <c r="C148" i="45" a="1"/>
  <c r="C148" i="45" s="1"/>
  <c r="C149" i="45" a="1"/>
  <c r="C149" i="45" s="1"/>
  <c r="D158" i="45" a="1"/>
  <c r="D158" i="45" s="1"/>
  <c r="D159" i="45" a="1"/>
  <c r="D159" i="45" s="1"/>
  <c r="D160" i="45" a="1"/>
  <c r="D160" i="45" s="1"/>
  <c r="D161" i="45" a="1"/>
  <c r="D161" i="45" s="1"/>
  <c r="D162" i="45" a="1"/>
  <c r="D162" i="45" s="1"/>
  <c r="D169" i="45" a="1"/>
  <c r="D169" i="45" s="1"/>
  <c r="D170" i="45" a="1"/>
  <c r="D170" i="45" s="1"/>
  <c r="D173" i="45" a="1"/>
  <c r="D173" i="45" s="1"/>
  <c r="D174" i="45" a="1"/>
  <c r="D174" i="45" s="1"/>
  <c r="C178" i="45" a="1"/>
  <c r="C178" i="45" s="1"/>
  <c r="D178" i="45" a="1"/>
  <c r="D178" i="45" s="1"/>
  <c r="C179" i="45" a="1"/>
  <c r="C179" i="45" s="1"/>
  <c r="D179" i="45" a="1"/>
  <c r="D179" i="45" s="1"/>
  <c r="C180" i="45" a="1"/>
  <c r="C180" i="45" s="1"/>
  <c r="D180" i="45" a="1"/>
  <c r="D180" i="45" s="1"/>
  <c r="C181" i="45" a="1"/>
  <c r="C181" i="45" s="1"/>
  <c r="D181" i="45" a="1"/>
  <c r="D181" i="45" s="1"/>
  <c r="C182" i="45" a="1"/>
  <c r="C182" i="45" s="1"/>
  <c r="D182" i="45" a="1"/>
  <c r="D182" i="45" s="1"/>
  <c r="C183" i="45" a="1"/>
  <c r="C183" i="45" s="1"/>
  <c r="D183" i="45" a="1"/>
  <c r="D183" i="45" s="1"/>
  <c r="C190" i="45"/>
  <c r="C4" i="46"/>
  <c r="C4" i="47"/>
  <c r="D11" i="47" s="1"/>
  <c r="F2" i="55"/>
  <c r="C75" i="55" a="1"/>
  <c r="C75" i="55" s="1"/>
  <c r="G75" i="55" s="1"/>
  <c r="C76" i="55" a="1"/>
  <c r="C76" i="55" s="1"/>
  <c r="G76" i="55" s="1"/>
  <c r="F1" i="71"/>
  <c r="C15" i="71" a="1"/>
  <c r="C15" i="71" s="1"/>
  <c r="C18" i="71" s="1"/>
  <c r="D15" i="71" a="1"/>
  <c r="D15" i="71" s="1"/>
  <c r="F18" i="71"/>
  <c r="G18" i="71"/>
  <c r="F29" i="71"/>
  <c r="C120" i="71" a="1"/>
  <c r="C120" i="71" s="1"/>
  <c r="F120" i="71" s="1"/>
  <c r="C121" i="71" a="1"/>
  <c r="C121" i="71" s="1"/>
  <c r="F121" i="71" s="1"/>
  <c r="C122" i="71" a="1"/>
  <c r="C122" i="71" s="1"/>
  <c r="F122" i="71" s="1"/>
  <c r="C123" i="71" a="1"/>
  <c r="C123" i="71" s="1"/>
  <c r="F123" i="71" s="1"/>
  <c r="C124" i="71" a="1"/>
  <c r="C124" i="71" s="1"/>
  <c r="F124" i="71" s="1"/>
  <c r="C125" i="71" a="1"/>
  <c r="C125" i="71" s="1"/>
  <c r="F125" i="71" s="1"/>
  <c r="C126" i="71" a="1"/>
  <c r="C126" i="71" s="1"/>
  <c r="F126" i="71" s="1"/>
  <c r="C127" i="71" a="1"/>
  <c r="C127" i="71" s="1"/>
  <c r="F127" i="71" s="1"/>
  <c r="C128" i="71" a="1"/>
  <c r="C128" i="71" s="1"/>
  <c r="F128" i="71" s="1"/>
  <c r="C129" i="71" a="1"/>
  <c r="C129" i="71" s="1"/>
  <c r="F129" i="71" s="1"/>
  <c r="C130" i="71" a="1"/>
  <c r="C130" i="71" s="1"/>
  <c r="F130" i="71" s="1"/>
  <c r="C131" i="71" a="1"/>
  <c r="C131" i="71" s="1"/>
  <c r="F131" i="71" s="1"/>
  <c r="C132" i="71" a="1"/>
  <c r="C132" i="71" s="1"/>
  <c r="F132" i="71" s="1"/>
  <c r="C133" i="71" a="1"/>
  <c r="C133" i="71" s="1"/>
  <c r="F133" i="71" s="1"/>
  <c r="C134" i="71" a="1"/>
  <c r="C134" i="71" s="1"/>
  <c r="C135" i="71" a="1"/>
  <c r="C135" i="71" s="1"/>
  <c r="F135" i="71" s="1"/>
  <c r="C136" i="71" a="1"/>
  <c r="C136" i="71" s="1"/>
  <c r="F136" i="71" s="1"/>
  <c r="C171" i="71" a="1"/>
  <c r="C171" i="71" s="1"/>
  <c r="F171" i="71" s="1"/>
  <c r="C172" i="71" a="1"/>
  <c r="C172" i="71" s="1"/>
  <c r="F181" i="71"/>
  <c r="F182" i="71"/>
  <c r="F183" i="71"/>
  <c r="C191" i="71" a="1"/>
  <c r="C191" i="71" s="1"/>
  <c r="F191" i="71" s="1"/>
  <c r="C192" i="71" a="1"/>
  <c r="C192" i="71" s="1"/>
  <c r="F192" i="71" s="1"/>
  <c r="C193" i="71" a="1"/>
  <c r="C193" i="71" s="1"/>
  <c r="F193" i="71" s="1"/>
  <c r="C194" i="71" a="1"/>
  <c r="C194" i="71" s="1"/>
  <c r="F194" i="71" s="1"/>
  <c r="C195" i="71" a="1"/>
  <c r="C195" i="71" s="1"/>
  <c r="F195" i="71" s="1"/>
  <c r="F201" i="71"/>
  <c r="F202" i="71"/>
  <c r="C211" i="71" a="1"/>
  <c r="C211" i="71" s="1"/>
  <c r="D211" i="71" a="1"/>
  <c r="D211" i="71" s="1"/>
  <c r="C214" i="71" a="1"/>
  <c r="C214" i="71" s="1"/>
  <c r="D214" i="71" a="1"/>
  <c r="D214" i="71" s="1"/>
  <c r="C215" i="71" a="1"/>
  <c r="C215" i="71" s="1"/>
  <c r="D215" i="71" a="1"/>
  <c r="D215" i="71" s="1"/>
  <c r="C216" i="71" a="1"/>
  <c r="C216" i="71" s="1"/>
  <c r="D216" i="71" a="1"/>
  <c r="D216" i="71" s="1"/>
  <c r="C217" i="71" a="1"/>
  <c r="C217" i="71" s="1"/>
  <c r="D217" i="71" a="1"/>
  <c r="D217" i="71" s="1"/>
  <c r="C218" i="71" a="1"/>
  <c r="C218" i="71" s="1"/>
  <c r="D218" i="71" a="1"/>
  <c r="D218" i="71" s="1"/>
  <c r="C219" i="71" a="1"/>
  <c r="C219" i="71" s="1"/>
  <c r="D219" i="71" a="1"/>
  <c r="D219" i="71" s="1"/>
  <c r="C240" i="71" a="1"/>
  <c r="C240" i="71" s="1"/>
  <c r="C243" i="71" a="1"/>
  <c r="C243" i="71" s="1"/>
  <c r="D243" i="71" a="1"/>
  <c r="D243" i="71" s="1"/>
  <c r="C244" i="71" a="1"/>
  <c r="C244" i="71" s="1"/>
  <c r="D244" i="71" a="1"/>
  <c r="D244" i="71" s="1"/>
  <c r="C245" i="71" a="1"/>
  <c r="C245" i="71" s="1"/>
  <c r="D245" i="71" a="1"/>
  <c r="D245" i="71" s="1"/>
  <c r="C246" i="71" a="1"/>
  <c r="C246" i="71" s="1"/>
  <c r="D246" i="71" a="1"/>
  <c r="D246" i="71" s="1"/>
  <c r="C247" i="71" a="1"/>
  <c r="C247" i="71" s="1"/>
  <c r="D247" i="71" a="1"/>
  <c r="D247" i="71" s="1"/>
  <c r="C248" i="71" a="1"/>
  <c r="C248" i="71" s="1"/>
  <c r="D248" i="71" a="1"/>
  <c r="D248" i="71" s="1"/>
  <c r="C249" i="71" a="1"/>
  <c r="C249" i="71" s="1"/>
  <c r="D249" i="71" a="1"/>
  <c r="D249" i="71" s="1"/>
  <c r="C250" i="71" a="1"/>
  <c r="C250" i="71" s="1"/>
  <c r="D250" i="71" a="1"/>
  <c r="D250" i="71" s="1"/>
  <c r="C262" i="71" a="1"/>
  <c r="C262" i="71" s="1"/>
  <c r="C265" i="71" a="1"/>
  <c r="C265" i="71" s="1"/>
  <c r="D265" i="71" a="1"/>
  <c r="D265" i="71" s="1"/>
  <c r="C266" i="71" a="1"/>
  <c r="C266" i="71" s="1"/>
  <c r="D266" i="71" a="1"/>
  <c r="D266" i="71" s="1"/>
  <c r="C267" i="71" a="1"/>
  <c r="C267" i="71" s="1"/>
  <c r="D267" i="71" a="1"/>
  <c r="D267" i="71" s="1"/>
  <c r="C268" i="71" a="1"/>
  <c r="C268" i="71" s="1"/>
  <c r="D268" i="71" a="1"/>
  <c r="D268" i="71" s="1"/>
  <c r="C269" i="71" a="1"/>
  <c r="C269" i="71" s="1"/>
  <c r="D269" i="71" a="1"/>
  <c r="D269" i="71" s="1"/>
  <c r="C270" i="71" a="1"/>
  <c r="C270" i="71" s="1"/>
  <c r="D270" i="71" a="1"/>
  <c r="D270" i="71" s="1"/>
  <c r="C271" i="71" a="1"/>
  <c r="C271" i="71" s="1"/>
  <c r="D271" i="71" a="1"/>
  <c r="D271" i="71" s="1"/>
  <c r="C272" i="71" a="1"/>
  <c r="C272" i="71" s="1"/>
  <c r="D272" i="71" a="1"/>
  <c r="D272" i="71" s="1"/>
  <c r="C301" i="71" a="1"/>
  <c r="C301" i="71" s="1"/>
  <c r="C302" i="71" a="1"/>
  <c r="C302" i="71" s="1"/>
  <c r="C1" i="50"/>
  <c r="A12" i="50" s="1"/>
  <c r="A13" i="50" s="1"/>
  <c r="A14" i="50" s="1"/>
  <c r="A15" i="50" s="1"/>
  <c r="A16" i="50" s="1"/>
  <c r="A17" i="50" s="1"/>
  <c r="A18" i="50" s="1"/>
  <c r="A19" i="50" s="1"/>
  <c r="A20" i="50" s="1"/>
  <c r="A21" i="50" s="1"/>
  <c r="A22" i="50" s="1"/>
  <c r="A23" i="50" s="1"/>
  <c r="A24" i="50" s="1"/>
  <c r="A25" i="50" s="1"/>
  <c r="A26" i="50" s="1"/>
  <c r="A27" i="50" s="1"/>
  <c r="A28" i="50" s="1"/>
  <c r="A29" i="50" s="1"/>
  <c r="A30" i="50" s="1"/>
  <c r="A31" i="50" s="1"/>
  <c r="A32" i="50" s="1"/>
  <c r="A33" i="50" s="1"/>
  <c r="A34" i="50" s="1"/>
  <c r="A35" i="50" s="1"/>
  <c r="A36" i="50" s="1"/>
  <c r="A37" i="50" s="1"/>
  <c r="A38" i="50" s="1"/>
  <c r="A39" i="50" s="1"/>
  <c r="A40" i="50" s="1"/>
  <c r="A41" i="50" s="1"/>
  <c r="A42" i="50" s="1"/>
  <c r="A43" i="50" s="1"/>
  <c r="A44" i="50" s="1"/>
  <c r="A45" i="50" s="1"/>
  <c r="A46" i="50" s="1"/>
  <c r="A47" i="50" s="1"/>
  <c r="A48" i="50" s="1"/>
  <c r="A49" i="50" s="1"/>
  <c r="A50" i="50" s="1"/>
  <c r="A51" i="50" s="1"/>
  <c r="A52" i="50" s="1"/>
  <c r="A53" i="50" s="1"/>
  <c r="A54" i="50" s="1"/>
  <c r="A55" i="50" s="1"/>
  <c r="A56" i="50" s="1"/>
  <c r="A57" i="50" s="1"/>
  <c r="A58" i="50" s="1"/>
  <c r="A59" i="50" s="1"/>
  <c r="A60" i="50" s="1"/>
  <c r="A61" i="50" s="1"/>
  <c r="A62" i="50" s="1"/>
  <c r="A63" i="50" s="1"/>
  <c r="A64" i="50" s="1"/>
  <c r="A65" i="50" s="1"/>
  <c r="A66" i="50" s="1"/>
  <c r="A67" i="50" s="1"/>
  <c r="A68" i="50" s="1"/>
  <c r="A69" i="50" s="1"/>
  <c r="A70" i="50" s="1"/>
  <c r="A71" i="50" s="1"/>
  <c r="A72" i="50" s="1"/>
  <c r="A73" i="50" s="1"/>
  <c r="A74" i="50" s="1"/>
  <c r="A75" i="50" s="1"/>
  <c r="A76" i="50" s="1"/>
  <c r="A77" i="50" s="1"/>
  <c r="A78" i="50" s="1"/>
  <c r="A79" i="50" s="1"/>
  <c r="A80" i="50" s="1"/>
  <c r="A81" i="50" s="1"/>
  <c r="A82" i="50" s="1"/>
  <c r="A83" i="50" s="1"/>
  <c r="A84" i="50" s="1"/>
  <c r="A85" i="50" s="1"/>
  <c r="A86" i="50" s="1"/>
  <c r="A87" i="50" s="1"/>
  <c r="A88" i="50" s="1"/>
  <c r="A89" i="50" s="1"/>
  <c r="A90" i="50" s="1"/>
  <c r="A91" i="50" s="1"/>
  <c r="A92" i="50" s="1"/>
  <c r="A93" i="50" s="1"/>
  <c r="A94" i="50" s="1"/>
  <c r="A95" i="50" s="1"/>
  <c r="A96" i="50" s="1"/>
  <c r="A97" i="50" s="1"/>
  <c r="A98" i="50" s="1"/>
  <c r="A99" i="50" s="1"/>
  <c r="A100" i="50" s="1"/>
  <c r="A101" i="50" s="1"/>
  <c r="A102" i="50" s="1"/>
  <c r="A103" i="50" s="1"/>
  <c r="A104" i="50" s="1"/>
  <c r="A105" i="50" s="1"/>
  <c r="A106" i="50" s="1"/>
  <c r="A107" i="50" s="1"/>
  <c r="A108" i="50" s="1"/>
  <c r="A109" i="50" s="1"/>
  <c r="A110" i="50" s="1"/>
  <c r="A111" i="50" s="1"/>
  <c r="A112" i="50" s="1"/>
  <c r="A113" i="50" s="1"/>
  <c r="A114" i="50" s="1"/>
  <c r="A115" i="50" s="1"/>
  <c r="A116" i="50" s="1"/>
  <c r="A117" i="50" s="1"/>
  <c r="A118" i="50" s="1"/>
  <c r="A119" i="50" s="1"/>
  <c r="A120" i="50" s="1"/>
  <c r="A121" i="50" s="1"/>
  <c r="A122" i="50" s="1"/>
  <c r="A123" i="50" s="1"/>
  <c r="A124" i="50" s="1"/>
  <c r="A125" i="50" s="1"/>
  <c r="A126" i="50" s="1"/>
  <c r="A127" i="50" s="1"/>
  <c r="A128" i="50" s="1"/>
  <c r="A129" i="50" s="1"/>
  <c r="A130" i="50" s="1"/>
  <c r="A131" i="50" s="1"/>
  <c r="A132" i="50" s="1"/>
  <c r="A133" i="50" s="1"/>
  <c r="A134" i="50" s="1"/>
  <c r="A135" i="50" s="1"/>
  <c r="A136" i="50" s="1"/>
  <c r="A137" i="50" s="1"/>
  <c r="A138" i="50" s="1"/>
  <c r="A139" i="50" s="1"/>
  <c r="A140" i="50" s="1"/>
  <c r="A141" i="50" s="1"/>
  <c r="A142" i="50" s="1"/>
  <c r="A143" i="50" s="1"/>
  <c r="A144" i="50" s="1"/>
  <c r="A145" i="50" s="1"/>
  <c r="A146" i="50" s="1"/>
  <c r="A147" i="50" s="1"/>
  <c r="A148" i="50" s="1"/>
  <c r="A149" i="50" s="1"/>
  <c r="A150" i="50" s="1"/>
  <c r="A151" i="50" s="1"/>
  <c r="A152" i="50" s="1"/>
  <c r="A153" i="50" s="1"/>
  <c r="A154" i="50" s="1"/>
  <c r="A155" i="50" s="1"/>
  <c r="A156" i="50" s="1"/>
  <c r="A157" i="50" s="1"/>
  <c r="A158" i="50" s="1"/>
  <c r="A159" i="50" s="1"/>
  <c r="A160" i="50" s="1"/>
  <c r="A161" i="50" s="1"/>
  <c r="A162" i="50" s="1"/>
  <c r="A163" i="50" s="1"/>
  <c r="A164" i="50" s="1"/>
  <c r="A165" i="50" s="1"/>
  <c r="A166" i="50" s="1"/>
  <c r="A167" i="50" s="1"/>
  <c r="A168" i="50" s="1"/>
  <c r="A169" i="50" s="1"/>
  <c r="A170" i="50" s="1"/>
  <c r="A171" i="50" s="1"/>
  <c r="A172" i="50" s="1"/>
  <c r="A173" i="50" s="1"/>
  <c r="A174" i="50" s="1"/>
  <c r="A175" i="50" s="1"/>
  <c r="A176" i="50" s="1"/>
  <c r="A177" i="50" s="1"/>
  <c r="A178" i="50" s="1"/>
  <c r="A179" i="50" s="1"/>
  <c r="A180" i="50" s="1"/>
  <c r="A181" i="50" s="1"/>
  <c r="A182" i="50" s="1"/>
  <c r="A183" i="50" s="1"/>
  <c r="A184" i="50" s="1"/>
  <c r="A185" i="50" s="1"/>
  <c r="A186" i="50" s="1"/>
  <c r="A187" i="50" s="1"/>
  <c r="A188" i="50" s="1"/>
  <c r="A189" i="50" s="1"/>
  <c r="A190" i="50" s="1"/>
  <c r="A191" i="50" s="1"/>
  <c r="A192" i="50" s="1"/>
  <c r="A193" i="50" s="1"/>
  <c r="A194" i="50" s="1"/>
  <c r="A195" i="50" s="1"/>
  <c r="A196" i="50" s="1"/>
  <c r="A197" i="50" s="1"/>
  <c r="A198" i="50" s="1"/>
  <c r="A199" i="50" s="1"/>
  <c r="A200" i="50" s="1"/>
  <c r="A201" i="50" s="1"/>
  <c r="A202" i="50" s="1"/>
  <c r="A203" i="50" s="1"/>
  <c r="A204" i="50" s="1"/>
  <c r="A205" i="50" s="1"/>
  <c r="A206" i="50" s="1"/>
  <c r="A207" i="50" s="1"/>
  <c r="A208" i="50" s="1"/>
  <c r="A209" i="50" s="1"/>
  <c r="A210" i="50" s="1"/>
  <c r="A211" i="50" s="1"/>
  <c r="A212" i="50" s="1"/>
  <c r="A213" i="50" s="1"/>
  <c r="A214" i="50" s="1"/>
  <c r="A215" i="50" s="1"/>
  <c r="A216" i="50" s="1"/>
  <c r="A217" i="50" s="1"/>
  <c r="A218" i="50" s="1"/>
  <c r="A219" i="50" s="1"/>
  <c r="A220" i="50" s="1"/>
  <c r="A221" i="50" s="1"/>
  <c r="A222" i="50" s="1"/>
  <c r="A223" i="50" s="1"/>
  <c r="A224" i="50" s="1"/>
  <c r="A225" i="50" s="1"/>
  <c r="A226" i="50" s="1"/>
  <c r="A227" i="50" s="1"/>
  <c r="A228" i="50" s="1"/>
  <c r="A229" i="50" s="1"/>
  <c r="A230" i="50" s="1"/>
  <c r="A231" i="50" s="1"/>
  <c r="A232" i="50" s="1"/>
  <c r="A233" i="50" s="1"/>
  <c r="A234" i="50" s="1"/>
  <c r="A235" i="50" s="1"/>
  <c r="A236" i="50" s="1"/>
  <c r="A237" i="50" s="1"/>
  <c r="A238" i="50" s="1"/>
  <c r="A239" i="50" s="1"/>
  <c r="A240" i="50" s="1"/>
  <c r="A241" i="50" s="1"/>
  <c r="A242" i="50" s="1"/>
  <c r="A243" i="50" s="1"/>
  <c r="A244" i="50" s="1"/>
  <c r="A245" i="50" s="1"/>
  <c r="A246" i="50" s="1"/>
  <c r="A247" i="50" s="1"/>
  <c r="A248" i="50" s="1"/>
  <c r="A249" i="50" s="1"/>
  <c r="A250" i="50" s="1"/>
  <c r="A251" i="50" s="1"/>
  <c r="A252" i="50" s="1"/>
  <c r="A253" i="50" s="1"/>
  <c r="A254" i="50" s="1"/>
  <c r="A255" i="50" s="1"/>
  <c r="A256" i="50" s="1"/>
  <c r="A257" i="50" s="1"/>
  <c r="A258" i="50" s="1"/>
  <c r="A259" i="50" s="1"/>
  <c r="A260" i="50" s="1"/>
  <c r="A261" i="50" s="1"/>
  <c r="A262" i="50" s="1"/>
  <c r="A263" i="50" s="1"/>
  <c r="A264" i="50" s="1"/>
  <c r="A265" i="50" s="1"/>
  <c r="A266" i="50" s="1"/>
  <c r="A267" i="50" s="1"/>
  <c r="A268" i="50" s="1"/>
  <c r="A269" i="50" s="1"/>
  <c r="A270" i="50" s="1"/>
  <c r="A271" i="50" s="1"/>
  <c r="A272" i="50" s="1"/>
  <c r="A273" i="50" s="1"/>
  <c r="A274" i="50" s="1"/>
  <c r="A275" i="50" s="1"/>
  <c r="A276" i="50" s="1"/>
  <c r="A277" i="50" s="1"/>
  <c r="A278" i="50" s="1"/>
  <c r="A279" i="50" s="1"/>
  <c r="A280" i="50" s="1"/>
  <c r="A281" i="50" s="1"/>
  <c r="A282" i="50" s="1"/>
  <c r="A283" i="50" s="1"/>
  <c r="A284" i="50" s="1"/>
  <c r="A285" i="50" s="1"/>
  <c r="A286" i="50" s="1"/>
  <c r="A287" i="50" s="1"/>
  <c r="A288" i="50" s="1"/>
  <c r="A289" i="50" s="1"/>
  <c r="A290" i="50" s="1"/>
  <c r="A291" i="50" s="1"/>
  <c r="A292" i="50" s="1"/>
  <c r="A293" i="50" s="1"/>
  <c r="A294" i="50" s="1"/>
  <c r="A295" i="50" s="1"/>
  <c r="A296" i="50" s="1"/>
  <c r="A297" i="50" s="1"/>
  <c r="A298" i="50" s="1"/>
  <c r="A299" i="50" s="1"/>
  <c r="A300" i="50" s="1"/>
  <c r="A301" i="50" s="1"/>
  <c r="A302" i="50" s="1"/>
  <c r="A303" i="50" s="1"/>
  <c r="A304" i="50" s="1"/>
  <c r="A305" i="50" s="1"/>
  <c r="A306" i="50" s="1"/>
  <c r="A307" i="50" s="1"/>
  <c r="A308" i="50" s="1"/>
  <c r="A309" i="50" s="1"/>
  <c r="A310" i="50" s="1"/>
  <c r="A311" i="50" s="1"/>
  <c r="A312" i="50" s="1"/>
  <c r="A313" i="50" s="1"/>
  <c r="A314" i="50" s="1"/>
  <c r="A315" i="50" s="1"/>
  <c r="A316" i="50" s="1"/>
  <c r="A317" i="50" s="1"/>
  <c r="A318" i="50" s="1"/>
  <c r="A319" i="50" s="1"/>
  <c r="A320" i="50" s="1"/>
  <c r="A321" i="50" s="1"/>
  <c r="A322" i="50" s="1"/>
  <c r="A323" i="50" s="1"/>
  <c r="A324" i="50" s="1"/>
  <c r="A325" i="50" s="1"/>
  <c r="A326" i="50" s="1"/>
  <c r="A327" i="50" s="1"/>
  <c r="A328" i="50" s="1"/>
  <c r="A329" i="50" s="1"/>
  <c r="A330" i="50" s="1"/>
  <c r="A331" i="50" s="1"/>
  <c r="A332" i="50" s="1"/>
  <c r="A333" i="50" s="1"/>
  <c r="A334" i="50" s="1"/>
  <c r="A335" i="50" s="1"/>
  <c r="A336" i="50" s="1"/>
  <c r="A337" i="50" s="1"/>
  <c r="A338" i="50" s="1"/>
  <c r="A339" i="50" s="1"/>
  <c r="A340" i="50" s="1"/>
  <c r="A341" i="50" s="1"/>
  <c r="A342" i="50" s="1"/>
  <c r="A343" i="50" s="1"/>
  <c r="A344" i="50" s="1"/>
  <c r="A345" i="50" s="1"/>
  <c r="A346" i="50" s="1"/>
  <c r="A347" i="50" s="1"/>
  <c r="A348" i="50" s="1"/>
  <c r="A349" i="50" s="1"/>
  <c r="A350" i="50" s="1"/>
  <c r="A351" i="50" s="1"/>
  <c r="A352" i="50" s="1"/>
  <c r="A353" i="50" s="1"/>
  <c r="A354" i="50" s="1"/>
  <c r="A355" i="50" s="1"/>
  <c r="A356" i="50" s="1"/>
  <c r="A357" i="50" s="1"/>
  <c r="A358" i="50" s="1"/>
  <c r="A359" i="50" s="1"/>
  <c r="A360" i="50" s="1"/>
  <c r="A361" i="50" s="1"/>
  <c r="A362" i="50" s="1"/>
  <c r="A363" i="50" s="1"/>
  <c r="A364" i="50" s="1"/>
  <c r="A365" i="50" s="1"/>
  <c r="A366" i="50" s="1"/>
  <c r="A367" i="50" s="1"/>
  <c r="G21" i="52"/>
  <c r="G23" i="52" a="1"/>
  <c r="G23" i="52" s="1"/>
  <c r="G24"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E91" i="52"/>
  <c r="E97"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258" i="52"/>
  <c r="G259" i="52"/>
  <c r="G260" i="52"/>
  <c r="G261" i="52"/>
  <c r="G262" i="52"/>
  <c r="G263" i="52"/>
  <c r="G264" i="52"/>
  <c r="G265" i="52"/>
  <c r="G266" i="52"/>
  <c r="G267" i="52"/>
  <c r="G268" i="52"/>
  <c r="G269" i="52"/>
  <c r="G270" i="52"/>
  <c r="G271" i="52"/>
  <c r="G272" i="52"/>
  <c r="G273" i="52"/>
  <c r="G274" i="52"/>
  <c r="G275" i="52"/>
  <c r="G276" i="52"/>
  <c r="G277" i="52"/>
  <c r="G278" i="52"/>
  <c r="G279" i="52"/>
  <c r="G280" i="52"/>
  <c r="G281" i="52"/>
  <c r="G282" i="52"/>
  <c r="G283" i="52"/>
  <c r="G284" i="52"/>
  <c r="G285" i="52"/>
  <c r="G286" i="52"/>
  <c r="G287" i="52"/>
  <c r="G288" i="52"/>
  <c r="G289" i="52"/>
  <c r="G290" i="52"/>
  <c r="G291" i="52"/>
  <c r="G292" i="52"/>
  <c r="G293" i="52"/>
  <c r="G294" i="52"/>
  <c r="G295" i="52"/>
  <c r="G296" i="52"/>
  <c r="G297" i="52"/>
  <c r="G298" i="52"/>
  <c r="G299" i="52"/>
  <c r="G300" i="52"/>
  <c r="G301" i="52"/>
  <c r="G302" i="52"/>
  <c r="G303" i="52"/>
  <c r="G304" i="52"/>
  <c r="G305" i="52"/>
  <c r="G306" i="52"/>
  <c r="G307" i="52"/>
  <c r="G308" i="52"/>
  <c r="G309" i="52"/>
  <c r="G310" i="52"/>
  <c r="G311" i="52"/>
  <c r="G312" i="52"/>
  <c r="G313" i="52"/>
  <c r="G314" i="52"/>
  <c r="G315" i="52"/>
  <c r="G316" i="52"/>
  <c r="G317" i="52"/>
  <c r="G318" i="52"/>
  <c r="G319" i="52"/>
  <c r="G320" i="52"/>
  <c r="G321" i="52"/>
  <c r="G322" i="52"/>
  <c r="G323" i="52"/>
  <c r="G324" i="52"/>
  <c r="G325" i="52"/>
  <c r="G326" i="52"/>
  <c r="G327" i="52"/>
  <c r="G328" i="52"/>
  <c r="G329" i="52"/>
  <c r="G330" i="52"/>
  <c r="G331" i="52"/>
  <c r="G332" i="52"/>
  <c r="G333" i="52"/>
  <c r="G334" i="52"/>
  <c r="G335" i="52"/>
  <c r="G336" i="52"/>
  <c r="G337" i="52"/>
  <c r="G338" i="52"/>
  <c r="G339" i="52"/>
  <c r="G340" i="52"/>
  <c r="G341" i="52"/>
  <c r="G342" i="52"/>
  <c r="G343" i="52"/>
  <c r="G344" i="52"/>
  <c r="G345" i="52"/>
  <c r="G346" i="52"/>
  <c r="G347" i="52"/>
  <c r="G348" i="52"/>
  <c r="G349" i="52"/>
  <c r="G350" i="52"/>
  <c r="G351" i="52"/>
  <c r="G352" i="52"/>
  <c r="G353" i="52"/>
  <c r="G354" i="52"/>
  <c r="G355" i="52"/>
  <c r="G356" i="52"/>
  <c r="G357" i="52"/>
  <c r="G358" i="52"/>
  <c r="G359" i="52"/>
  <c r="G360" i="52"/>
  <c r="G361" i="52"/>
  <c r="G362" i="52"/>
  <c r="G363" i="52"/>
  <c r="G364" i="52"/>
  <c r="G365" i="52"/>
  <c r="G366" i="52"/>
  <c r="G367" i="52"/>
  <c r="G368" i="52"/>
  <c r="G369" i="52"/>
  <c r="G370" i="52"/>
  <c r="G371" i="52"/>
  <c r="G372" i="52"/>
  <c r="G373" i="52"/>
  <c r="G374" i="52"/>
  <c r="G375" i="52"/>
  <c r="G376" i="52"/>
  <c r="G377" i="52"/>
  <c r="G378" i="52"/>
  <c r="G379" i="52"/>
  <c r="G380" i="52"/>
  <c r="G381" i="52"/>
  <c r="G382" i="52"/>
  <c r="G383" i="52"/>
  <c r="G384" i="52"/>
  <c r="G385" i="52"/>
  <c r="G386" i="52"/>
  <c r="G387" i="52"/>
  <c r="G388" i="52"/>
  <c r="G389" i="52"/>
  <c r="G390" i="52"/>
  <c r="G391" i="52"/>
  <c r="G392" i="52"/>
  <c r="G393" i="52"/>
  <c r="G394" i="52"/>
  <c r="G395" i="52"/>
  <c r="G396" i="52"/>
  <c r="G397" i="52"/>
  <c r="G398" i="52"/>
  <c r="G399" i="52"/>
  <c r="G400" i="52"/>
  <c r="G401" i="52"/>
  <c r="G402" i="52"/>
  <c r="G403" i="52"/>
  <c r="G404" i="52"/>
  <c r="G405" i="52"/>
  <c r="G406" i="52"/>
  <c r="G407" i="52"/>
  <c r="G408" i="52"/>
  <c r="G409" i="52"/>
  <c r="G410" i="52"/>
  <c r="G411" i="52"/>
  <c r="G412" i="52"/>
  <c r="G413" i="52"/>
  <c r="G414" i="52"/>
  <c r="G415" i="52"/>
  <c r="G416" i="52"/>
  <c r="G417" i="52"/>
  <c r="G418" i="52"/>
  <c r="G419" i="52"/>
  <c r="G420" i="52"/>
  <c r="G421" i="52"/>
  <c r="G422" i="52"/>
  <c r="G423" i="52"/>
  <c r="G424" i="52"/>
  <c r="G425" i="52"/>
  <c r="G426" i="52"/>
  <c r="G427" i="52"/>
  <c r="G428" i="52"/>
  <c r="G429" i="52"/>
  <c r="G430" i="52"/>
  <c r="G431" i="52"/>
  <c r="G432" i="52"/>
  <c r="G433" i="52"/>
  <c r="G434" i="52"/>
  <c r="G435" i="52"/>
  <c r="G436" i="52"/>
  <c r="G437" i="52"/>
  <c r="G438" i="52"/>
  <c r="G439" i="52"/>
  <c r="G440" i="52"/>
  <c r="G441" i="52"/>
  <c r="G442" i="52"/>
  <c r="G443" i="52"/>
  <c r="G444" i="52"/>
  <c r="G445" i="52"/>
  <c r="G446" i="52"/>
  <c r="G447" i="52"/>
  <c r="G448" i="52"/>
  <c r="G449" i="52"/>
  <c r="G450" i="52"/>
  <c r="G451" i="52"/>
  <c r="G452" i="52"/>
  <c r="G453" i="52"/>
  <c r="G454" i="52"/>
  <c r="G455" i="52"/>
  <c r="G456" i="52"/>
  <c r="G457" i="52"/>
  <c r="G458" i="52"/>
  <c r="G459" i="52"/>
  <c r="G460" i="52"/>
  <c r="G461" i="52"/>
  <c r="G462" i="52"/>
  <c r="G463" i="52"/>
  <c r="G464" i="52"/>
  <c r="G465" i="52"/>
  <c r="G466" i="52"/>
  <c r="G467" i="52"/>
  <c r="G468" i="52"/>
  <c r="G469" i="52"/>
  <c r="G470" i="52"/>
  <c r="G471" i="52"/>
  <c r="G472" i="52"/>
  <c r="G473" i="52"/>
  <c r="G474" i="52"/>
  <c r="G475" i="52"/>
  <c r="G476" i="52"/>
  <c r="G477" i="52"/>
  <c r="G478" i="52"/>
  <c r="G479" i="52"/>
  <c r="G480" i="52"/>
  <c r="G481" i="52"/>
  <c r="G482" i="52"/>
  <c r="G483" i="52"/>
  <c r="G484" i="52"/>
  <c r="G485" i="52"/>
  <c r="G486" i="52"/>
  <c r="G487" i="52"/>
  <c r="G488" i="52"/>
  <c r="G489" i="52"/>
  <c r="G490" i="52"/>
  <c r="G491" i="52"/>
  <c r="G492" i="52"/>
  <c r="G493" i="52"/>
  <c r="G494" i="52"/>
  <c r="G495" i="52"/>
  <c r="G496" i="52"/>
  <c r="G497" i="52"/>
  <c r="G498" i="52"/>
  <c r="G499" i="52"/>
  <c r="G500" i="52"/>
  <c r="G501" i="52"/>
  <c r="G502" i="52"/>
  <c r="G503" i="52"/>
  <c r="G504" i="52"/>
  <c r="G505" i="52"/>
  <c r="G508" i="52"/>
  <c r="G141" i="57" l="1"/>
  <c r="G140" i="57"/>
  <c r="F163" i="57"/>
  <c r="G130" i="57"/>
  <c r="F181" i="57"/>
  <c r="G129" i="57"/>
  <c r="G123" i="57"/>
  <c r="F172" i="57"/>
  <c r="F185" i="57"/>
  <c r="F184" i="57"/>
  <c r="F180" i="57"/>
  <c r="E106" i="45"/>
  <c r="F178" i="57"/>
  <c r="F176" i="57"/>
  <c r="F174" i="57"/>
  <c r="G128" i="57"/>
  <c r="G184" i="57"/>
  <c r="G125" i="57"/>
  <c r="G124" i="57"/>
  <c r="G22" i="52"/>
  <c r="G20" i="52" s="1"/>
  <c r="G137" i="57"/>
  <c r="G136" i="57"/>
  <c r="F157" i="56"/>
  <c r="G134" i="57"/>
  <c r="G131" i="57"/>
  <c r="F130" i="57"/>
  <c r="F162" i="57"/>
  <c r="F139" i="57"/>
  <c r="F154" i="56"/>
  <c r="F127" i="57"/>
  <c r="F137" i="57"/>
  <c r="F152" i="57"/>
  <c r="C49" i="56"/>
  <c r="G135" i="57"/>
  <c r="F124" i="57"/>
  <c r="F177" i="57"/>
  <c r="G143" i="57"/>
  <c r="F133" i="57"/>
  <c r="G122" i="57"/>
  <c r="F143" i="57"/>
  <c r="F121" i="57"/>
  <c r="G32" i="56"/>
  <c r="F175" i="57"/>
  <c r="G142" i="57"/>
  <c r="F131" i="57"/>
  <c r="F142" i="57"/>
  <c r="C167" i="72"/>
  <c r="F165" i="72" s="1"/>
  <c r="E11" i="47"/>
  <c r="E32" i="47" s="1"/>
  <c r="D10" i="47"/>
  <c r="D32" i="47"/>
  <c r="E111" i="45"/>
  <c r="C214" i="73"/>
  <c r="F192" i="73" s="1"/>
  <c r="G152" i="57"/>
  <c r="F32" i="56"/>
  <c r="G149" i="57"/>
  <c r="F30" i="56"/>
  <c r="F183" i="57"/>
  <c r="F171" i="57"/>
  <c r="F136" i="57"/>
  <c r="F125" i="57"/>
  <c r="F151" i="56"/>
  <c r="F27" i="56"/>
  <c r="F101" i="52"/>
  <c r="G16" i="52" s="1"/>
  <c r="F182" i="57"/>
  <c r="G163" i="57"/>
  <c r="F149" i="56"/>
  <c r="G26" i="56"/>
  <c r="F26" i="56"/>
  <c r="F97" i="52"/>
  <c r="G33" i="52" s="1"/>
  <c r="G162" i="57"/>
  <c r="F24" i="56"/>
  <c r="G160" i="57"/>
  <c r="C26" i="57"/>
  <c r="F36" i="56"/>
  <c r="G155" i="57"/>
  <c r="F33" i="56"/>
  <c r="C367" i="50"/>
  <c r="A368" i="50"/>
  <c r="D273" i="71"/>
  <c r="G272" i="71" s="1"/>
  <c r="C238" i="71"/>
  <c r="F214" i="71" s="1"/>
  <c r="C273" i="71"/>
  <c r="F269" i="71" s="1"/>
  <c r="C173" i="71"/>
  <c r="F173" i="71" s="1"/>
  <c r="F172" i="71"/>
  <c r="D251" i="71"/>
  <c r="G250" i="71" s="1"/>
  <c r="C251" i="71"/>
  <c r="F247" i="71" s="1"/>
  <c r="C26" i="71"/>
  <c r="C29" i="71" s="1"/>
  <c r="C57" i="71" a="1"/>
  <c r="C57" i="71" s="1"/>
  <c r="D238" i="71"/>
  <c r="G214" i="71" s="1"/>
  <c r="C184" i="45"/>
  <c r="D184" i="45"/>
  <c r="E182" i="45" s="1"/>
  <c r="D33" i="47" a="1"/>
  <c r="D33" i="47" s="1"/>
  <c r="D24" i="47" a="1"/>
  <c r="D24" i="47" s="1"/>
  <c r="D45" i="47" a="1"/>
  <c r="D45" i="47" s="1"/>
  <c r="D34" i="47" a="1"/>
  <c r="D34" i="47" s="1"/>
  <c r="D46" i="47" a="1"/>
  <c r="D46" i="47" s="1"/>
  <c r="D25" i="47" a="1"/>
  <c r="D25" i="47" s="1"/>
  <c r="C49" i="71"/>
  <c r="D18" i="71"/>
  <c r="D249" i="73"/>
  <c r="G243" i="73" s="1"/>
  <c r="C249" i="73"/>
  <c r="F247" i="73" s="1"/>
  <c r="D100" i="72"/>
  <c r="G97" i="72" s="1"/>
  <c r="D214" i="73"/>
  <c r="G191" i="73" s="1"/>
  <c r="C219" i="72"/>
  <c r="C179" i="72"/>
  <c r="F174" i="72" s="1"/>
  <c r="D227" i="73"/>
  <c r="G223" i="73" s="1"/>
  <c r="D45" i="72"/>
  <c r="C47" i="72"/>
  <c r="C112" i="72"/>
  <c r="C131" i="72" s="1"/>
  <c r="C53" i="72"/>
  <c r="C58" i="72" s="1"/>
  <c r="D112" i="72"/>
  <c r="D131" i="72" s="1"/>
  <c r="C218" i="72"/>
  <c r="C193" i="72"/>
  <c r="C100" i="72"/>
  <c r="F95" i="72" s="1"/>
  <c r="C227" i="73"/>
  <c r="F226" i="73" s="1"/>
  <c r="F158" i="57"/>
  <c r="F153" i="57"/>
  <c r="F138" i="57"/>
  <c r="F132" i="57"/>
  <c r="F126" i="57"/>
  <c r="F120" i="57"/>
  <c r="F40" i="56"/>
  <c r="G33" i="56"/>
  <c r="G27" i="56"/>
  <c r="G181" i="57"/>
  <c r="G176" i="57"/>
  <c r="F39" i="56"/>
  <c r="G180" i="57"/>
  <c r="G175" i="57"/>
  <c r="G151" i="57"/>
  <c r="F150" i="56"/>
  <c r="F151" i="57"/>
  <c r="G31" i="56"/>
  <c r="G25" i="56"/>
  <c r="G185" i="57"/>
  <c r="G174" i="57"/>
  <c r="G161" i="57"/>
  <c r="G156" i="57"/>
  <c r="G150" i="57"/>
  <c r="F159" i="56"/>
  <c r="F148" i="56"/>
  <c r="F31" i="56"/>
  <c r="F25" i="56"/>
  <c r="F161" i="57"/>
  <c r="F156" i="57"/>
  <c r="F150" i="57"/>
  <c r="F141" i="57"/>
  <c r="F135" i="57"/>
  <c r="F129" i="57"/>
  <c r="F123" i="57"/>
  <c r="F158" i="56"/>
  <c r="G36" i="56"/>
  <c r="G30" i="56"/>
  <c r="G24" i="56"/>
  <c r="C15" i="73"/>
  <c r="G173" i="57"/>
  <c r="F160" i="57"/>
  <c r="F155" i="57"/>
  <c r="F149" i="57"/>
  <c r="F140" i="57"/>
  <c r="F134" i="57"/>
  <c r="F128" i="57"/>
  <c r="F156" i="56"/>
  <c r="G35" i="56"/>
  <c r="G29" i="56"/>
  <c r="G23" i="56"/>
  <c r="G183" i="57"/>
  <c r="G178" i="57"/>
  <c r="G172" i="57"/>
  <c r="G159" i="57"/>
  <c r="G154" i="57"/>
  <c r="G139" i="57"/>
  <c r="G133" i="57"/>
  <c r="G127" i="57"/>
  <c r="G121" i="57"/>
  <c r="F155" i="56"/>
  <c r="F35" i="56"/>
  <c r="F29" i="56"/>
  <c r="F23" i="56"/>
  <c r="F159" i="57"/>
  <c r="G34" i="56"/>
  <c r="G28" i="56"/>
  <c r="D138" i="72"/>
  <c r="D157" i="72" s="1"/>
  <c r="G182" i="57"/>
  <c r="G177" i="57"/>
  <c r="G158" i="57"/>
  <c r="G138" i="57"/>
  <c r="G132" i="57"/>
  <c r="G126" i="57"/>
  <c r="F34" i="56"/>
  <c r="F28" i="56"/>
  <c r="D16" i="47" l="1"/>
  <c r="D22" i="47" s="1"/>
  <c r="E181" i="45"/>
  <c r="F164" i="72"/>
  <c r="F166" i="72"/>
  <c r="F195" i="73"/>
  <c r="F190" i="73"/>
  <c r="G34" i="52"/>
  <c r="G32" i="52" s="1"/>
  <c r="G15" i="52" s="1"/>
  <c r="G14" i="52" s="1"/>
  <c r="G17" i="52" s="1"/>
  <c r="F179" i="57"/>
  <c r="E10" i="47"/>
  <c r="G99" i="72"/>
  <c r="F265" i="71"/>
  <c r="G222" i="73"/>
  <c r="G271" i="71"/>
  <c r="F99" i="72"/>
  <c r="F11" i="47"/>
  <c r="F10" i="47" s="1"/>
  <c r="G220" i="73"/>
  <c r="G219" i="73"/>
  <c r="G265" i="71"/>
  <c r="F270" i="71"/>
  <c r="G179" i="57"/>
  <c r="F144" i="57"/>
  <c r="F98" i="72"/>
  <c r="G226" i="73"/>
  <c r="F224" i="73"/>
  <c r="G95" i="72"/>
  <c r="F177" i="72"/>
  <c r="F179" i="72" s="1"/>
  <c r="F37" i="56"/>
  <c r="G221" i="73"/>
  <c r="F97" i="72"/>
  <c r="F96" i="72"/>
  <c r="G195" i="73"/>
  <c r="G94" i="72"/>
  <c r="F271" i="71"/>
  <c r="F217" i="71"/>
  <c r="G270" i="71"/>
  <c r="F193" i="73"/>
  <c r="G93" i="72"/>
  <c r="G96" i="72"/>
  <c r="D35" i="47"/>
  <c r="D37" i="47" s="1"/>
  <c r="D43" i="47" s="1"/>
  <c r="F191" i="73"/>
  <c r="F94" i="72"/>
  <c r="E180" i="45"/>
  <c r="E178" i="45"/>
  <c r="G144" i="57"/>
  <c r="G157" i="57"/>
  <c r="F42" i="56"/>
  <c r="G219" i="71"/>
  <c r="G37" i="56"/>
  <c r="G245" i="73"/>
  <c r="G98" i="72"/>
  <c r="F194" i="73"/>
  <c r="F93" i="72"/>
  <c r="G244" i="71"/>
  <c r="F215" i="71"/>
  <c r="C208" i="72"/>
  <c r="C209" i="72"/>
  <c r="F13" i="73"/>
  <c r="F14" i="73"/>
  <c r="C220" i="72"/>
  <c r="F218" i="72" s="1"/>
  <c r="F12" i="73"/>
  <c r="F152" i="56"/>
  <c r="G244" i="73"/>
  <c r="G241" i="73"/>
  <c r="G190" i="73"/>
  <c r="G242" i="73"/>
  <c r="G248" i="73"/>
  <c r="F242" i="73"/>
  <c r="F244" i="73"/>
  <c r="F246" i="73"/>
  <c r="F248" i="73"/>
  <c r="G192" i="73"/>
  <c r="G247" i="73"/>
  <c r="F241" i="73"/>
  <c r="F220" i="73"/>
  <c r="F222" i="73"/>
  <c r="F219" i="73"/>
  <c r="F221" i="73"/>
  <c r="F223" i="73"/>
  <c r="F225" i="73"/>
  <c r="F245" i="73"/>
  <c r="G246" i="73"/>
  <c r="G193" i="73"/>
  <c r="G194" i="73"/>
  <c r="F157" i="57"/>
  <c r="G224" i="73"/>
  <c r="G225" i="73"/>
  <c r="F243" i="73"/>
  <c r="E179" i="45"/>
  <c r="F272" i="71"/>
  <c r="F219" i="71"/>
  <c r="F245" i="71"/>
  <c r="F243" i="71"/>
  <c r="F248" i="71"/>
  <c r="E45" i="47" a="1"/>
  <c r="E45" i="47" s="1"/>
  <c r="E46" i="47" a="1"/>
  <c r="E46" i="47" s="1"/>
  <c r="F250" i="71"/>
  <c r="F246" i="71"/>
  <c r="G247" i="71"/>
  <c r="F249" i="71"/>
  <c r="F267" i="71"/>
  <c r="G245" i="71"/>
  <c r="G246" i="71"/>
  <c r="G243" i="71"/>
  <c r="F266" i="71"/>
  <c r="G269" i="71"/>
  <c r="G268" i="71"/>
  <c r="D48" i="47"/>
  <c r="G218" i="71"/>
  <c r="G217" i="71"/>
  <c r="G216" i="71"/>
  <c r="F244" i="71"/>
  <c r="G267" i="71"/>
  <c r="D27" i="47"/>
  <c r="G215" i="71"/>
  <c r="G266" i="71"/>
  <c r="F268" i="71"/>
  <c r="C368" i="50"/>
  <c r="A369" i="50"/>
  <c r="F216" i="71"/>
  <c r="F218" i="71"/>
  <c r="E183" i="45"/>
  <c r="G248" i="71"/>
  <c r="G249" i="71"/>
  <c r="E27" i="47" l="1"/>
  <c r="F167" i="72"/>
  <c r="F32" i="47"/>
  <c r="G100" i="72"/>
  <c r="F219" i="72"/>
  <c r="G219" i="72" s="1"/>
  <c r="G11" i="47"/>
  <c r="G32" i="47" s="1"/>
  <c r="G249" i="73"/>
  <c r="F214" i="73"/>
  <c r="F273" i="71"/>
  <c r="E48" i="47"/>
  <c r="G238" i="71"/>
  <c r="F249" i="73"/>
  <c r="E37" i="47"/>
  <c r="E43" i="47" s="1"/>
  <c r="F238" i="71"/>
  <c r="F15" i="73"/>
  <c r="E184" i="45"/>
  <c r="F100" i="72"/>
  <c r="G273" i="71"/>
  <c r="G227" i="73"/>
  <c r="F227" i="73"/>
  <c r="G214" i="73"/>
  <c r="F46" i="47" a="1"/>
  <c r="F46" i="47" s="1"/>
  <c r="F45" i="47" a="1"/>
  <c r="F45" i="47" s="1"/>
  <c r="F251" i="71"/>
  <c r="C369" i="50"/>
  <c r="A370" i="50"/>
  <c r="G251" i="71"/>
  <c r="E16" i="47"/>
  <c r="E22" i="47" s="1"/>
  <c r="G218" i="72"/>
  <c r="G10" i="47" l="1"/>
  <c r="F220" i="72"/>
  <c r="G220" i="72" s="1"/>
  <c r="F27" i="47"/>
  <c r="F48" i="47"/>
  <c r="F37" i="47"/>
  <c r="F43" i="47" s="1"/>
  <c r="F16" i="47"/>
  <c r="F22" i="47" s="1"/>
  <c r="G45" i="47" a="1"/>
  <c r="G45" i="47" s="1"/>
  <c r="G46" i="47" a="1"/>
  <c r="G46" i="47" s="1"/>
  <c r="C370" i="50"/>
  <c r="A371" i="50"/>
  <c r="G27" i="47" l="1"/>
  <c r="G48" i="47"/>
  <c r="G37" i="47"/>
  <c r="G43" i="47" s="1"/>
  <c r="G16" i="47"/>
  <c r="G22" i="47" s="1"/>
  <c r="C371" i="50"/>
  <c r="A372" i="50"/>
  <c r="A373" i="50" l="1"/>
  <c r="C372" i="50"/>
  <c r="A374" i="50" l="1"/>
  <c r="C373" i="50"/>
  <c r="C374" i="50" l="1"/>
  <c r="A375" i="50"/>
  <c r="C375" i="50" l="1"/>
  <c r="A376" i="50"/>
  <c r="C376" i="50" l="1"/>
  <c r="A377" i="50"/>
  <c r="C377" i="50" l="1"/>
  <c r="A378" i="50"/>
  <c r="C378" i="50" l="1"/>
  <c r="A379" i="50"/>
  <c r="A380" i="50" l="1"/>
  <c r="C379" i="50"/>
  <c r="A381" i="50" l="1"/>
  <c r="C380" i="50"/>
  <c r="C381" i="50" l="1"/>
  <c r="A382" i="50"/>
  <c r="C382" i="50" l="1"/>
  <c r="A383" i="50"/>
  <c r="C383" i="50" l="1"/>
  <c r="A384" i="50"/>
  <c r="C384" i="50" l="1"/>
  <c r="A385" i="50"/>
  <c r="C385" i="50" l="1"/>
  <c r="A386" i="50"/>
  <c r="A387" i="50" l="1"/>
  <c r="C386" i="50"/>
  <c r="A388" i="50" l="1"/>
  <c r="C387" i="50"/>
  <c r="C388" i="50" l="1"/>
  <c r="A389" i="50"/>
  <c r="C389" i="50" l="1"/>
  <c r="A390" i="50"/>
  <c r="C390" i="50" l="1"/>
  <c r="A391" i="50"/>
  <c r="C391" i="50" l="1"/>
  <c r="A392" i="50"/>
  <c r="C392" i="50" l="1"/>
  <c r="A393" i="50"/>
  <c r="A394" i="50" l="1"/>
  <c r="C393" i="50"/>
  <c r="A395" i="50" l="1"/>
  <c r="C394" i="50"/>
  <c r="C395" i="50" l="1"/>
  <c r="A396" i="50"/>
  <c r="C396" i="50" l="1"/>
  <c r="A397" i="50"/>
  <c r="C397" i="50" l="1"/>
  <c r="A398" i="50"/>
  <c r="C398" i="50" l="1"/>
  <c r="A399" i="50"/>
  <c r="C399" i="50" l="1"/>
  <c r="A400" i="50"/>
  <c r="A401" i="50" l="1"/>
  <c r="C400" i="50"/>
  <c r="C401" i="50" l="1"/>
  <c r="A402" i="50"/>
  <c r="A403" i="50" l="1"/>
  <c r="C402" i="50"/>
  <c r="C403" i="50" l="1"/>
  <c r="A404" i="50"/>
  <c r="C404" i="50" l="1"/>
  <c r="A405" i="50"/>
  <c r="C405" i="50" l="1"/>
  <c r="A406" i="50"/>
  <c r="C406" i="50" l="1"/>
  <c r="A407" i="50"/>
  <c r="C407" i="50" l="1"/>
  <c r="A408" i="50"/>
  <c r="A409" i="50" l="1"/>
  <c r="C408" i="50"/>
  <c r="A410" i="50" l="1"/>
  <c r="C409" i="50"/>
  <c r="C410" i="50" l="1"/>
  <c r="A411" i="50"/>
  <c r="C411" i="50" l="1"/>
  <c r="A412" i="50"/>
  <c r="C412" i="50" l="1"/>
  <c r="A413" i="50"/>
  <c r="C413" i="50" l="1"/>
  <c r="A414" i="50"/>
  <c r="C414" i="50" l="1"/>
  <c r="A415" i="50"/>
  <c r="A416" i="50" l="1"/>
  <c r="C415" i="50"/>
  <c r="A417" i="50" l="1"/>
  <c r="C416" i="50"/>
  <c r="C417" i="50" l="1"/>
  <c r="A418" i="50"/>
  <c r="C418" i="50" l="1"/>
  <c r="A419" i="50"/>
  <c r="C419" i="50" l="1"/>
  <c r="A420" i="50"/>
  <c r="C420" i="50" l="1"/>
  <c r="A421" i="50"/>
  <c r="C421" i="50" l="1"/>
  <c r="A422" i="50"/>
  <c r="A423" i="50" l="1"/>
  <c r="C422" i="50"/>
  <c r="A424" i="50" l="1"/>
  <c r="C423" i="50"/>
  <c r="C424" i="50" l="1"/>
  <c r="A425" i="50"/>
  <c r="C425" i="50" l="1"/>
  <c r="A426" i="50"/>
  <c r="C426" i="50" l="1"/>
  <c r="A427" i="50"/>
  <c r="C427" i="50" l="1"/>
  <c r="A428" i="50"/>
  <c r="C428" i="50" l="1"/>
  <c r="A429" i="50"/>
  <c r="A430" i="50" l="1"/>
  <c r="C429" i="50"/>
  <c r="A431" i="50" l="1"/>
  <c r="C430" i="50"/>
  <c r="C431" i="50" l="1"/>
  <c r="A432" i="50"/>
  <c r="C432" i="50" l="1"/>
  <c r="A433" i="50"/>
  <c r="C433" i="50" l="1"/>
  <c r="A434" i="50"/>
  <c r="C434" i="50" l="1"/>
  <c r="A435" i="50"/>
  <c r="C435" i="50" l="1"/>
  <c r="A436" i="50"/>
  <c r="A437" i="50" l="1"/>
  <c r="C436" i="50"/>
  <c r="A438" i="50" l="1"/>
  <c r="C437" i="50"/>
  <c r="A439" i="50" l="1"/>
  <c r="C438" i="50"/>
  <c r="A440" i="50" l="1"/>
  <c r="C439" i="50"/>
  <c r="C440" i="50" l="1"/>
  <c r="A441" i="50"/>
  <c r="A442" i="50" l="1"/>
  <c r="C441" i="50"/>
  <c r="C442" i="50" l="1"/>
  <c r="A443" i="50"/>
  <c r="C443" i="50" l="1"/>
  <c r="A444" i="50"/>
  <c r="A445" i="50" l="1"/>
  <c r="C444" i="50"/>
  <c r="A446" i="50" l="1"/>
  <c r="C445" i="50"/>
  <c r="C446" i="50" l="1"/>
  <c r="A447" i="50"/>
  <c r="A448" i="50" l="1"/>
  <c r="C447" i="50"/>
  <c r="C448" i="50" l="1"/>
  <c r="A449" i="50"/>
  <c r="C449" i="50" l="1"/>
  <c r="A450" i="50"/>
  <c r="A451" i="50" l="1"/>
  <c r="C450" i="50"/>
  <c r="A452" i="50" l="1"/>
  <c r="C451" i="50"/>
  <c r="C452" i="50" l="1"/>
  <c r="A453" i="50"/>
  <c r="A454" i="50" l="1"/>
  <c r="C453" i="50"/>
  <c r="C454" i="50" l="1"/>
  <c r="A455" i="50"/>
  <c r="C455" i="50" l="1"/>
  <c r="A456" i="50"/>
  <c r="A457" i="50" l="1"/>
  <c r="C456" i="50"/>
  <c r="A458" i="50" l="1"/>
  <c r="C457" i="50"/>
  <c r="C458" i="50" l="1"/>
  <c r="A459" i="50"/>
  <c r="A460" i="50" l="1"/>
  <c r="C459" i="50"/>
  <c r="C460" i="50" l="1"/>
  <c r="A461" i="50"/>
  <c r="C461" i="50" l="1"/>
  <c r="A462" i="50"/>
  <c r="A463" i="50" l="1"/>
  <c r="C462" i="50"/>
  <c r="A464" i="50" l="1"/>
  <c r="C463" i="50"/>
  <c r="C464" i="50" l="1"/>
  <c r="A465" i="50"/>
  <c r="A466" i="50" l="1"/>
  <c r="C465" i="50"/>
  <c r="C466" i="50" l="1"/>
  <c r="A467" i="50"/>
  <c r="C467" i="50" l="1"/>
  <c r="A468" i="50"/>
  <c r="A469" i="50" l="1"/>
  <c r="C468" i="50"/>
  <c r="A470" i="50" l="1"/>
  <c r="C469" i="50"/>
  <c r="C470" i="50" l="1"/>
  <c r="A471" i="50"/>
  <c r="A472" i="50" l="1"/>
  <c r="C471" i="50"/>
  <c r="C472" i="50" l="1"/>
  <c r="A473" i="50"/>
  <c r="C473" i="50" l="1"/>
  <c r="A474" i="50"/>
  <c r="A475" i="50" l="1"/>
  <c r="C474" i="50"/>
  <c r="A476" i="50" l="1"/>
  <c r="C475" i="50"/>
  <c r="C476" i="50" l="1"/>
  <c r="A477" i="50"/>
  <c r="A478" i="50" l="1"/>
  <c r="C477" i="50"/>
  <c r="C478" i="50" l="1"/>
  <c r="A479" i="50"/>
  <c r="C479" i="50" l="1"/>
  <c r="A480" i="50"/>
  <c r="A481" i="50" l="1"/>
  <c r="C480" i="50"/>
  <c r="A482" i="50" l="1"/>
  <c r="C481" i="50"/>
  <c r="C482" i="50" l="1"/>
  <c r="A483" i="50"/>
  <c r="A484" i="50" l="1"/>
  <c r="C483" i="50"/>
  <c r="C484" i="50" l="1"/>
  <c r="A485" i="50"/>
  <c r="C485" i="50" l="1"/>
  <c r="A486" i="50"/>
  <c r="A487" i="50" l="1"/>
  <c r="C486" i="50"/>
  <c r="A488" i="50" l="1"/>
  <c r="C487" i="50"/>
  <c r="C488" i="50" l="1"/>
  <c r="A489" i="50"/>
  <c r="A490" i="50" l="1"/>
  <c r="C489" i="50"/>
  <c r="C490" i="50" l="1"/>
  <c r="A491" i="50"/>
  <c r="C491" i="50" l="1"/>
  <c r="A492" i="50"/>
  <c r="A493" i="50" l="1"/>
  <c r="C492" i="50"/>
  <c r="A494" i="50" l="1"/>
  <c r="C493" i="50"/>
  <c r="C494" i="50" l="1"/>
  <c r="A495" i="50"/>
  <c r="A496" i="50" l="1"/>
  <c r="C495" i="50"/>
  <c r="C496" i="50" l="1"/>
  <c r="A497" i="50"/>
  <c r="C497" i="50" l="1"/>
  <c r="A498" i="50"/>
  <c r="A499" i="50" l="1"/>
  <c r="C498" i="50"/>
  <c r="A500" i="50" l="1"/>
  <c r="C500" i="50" s="1"/>
  <c r="C499" i="50"/>
  <c r="D71" i="72" l="1"/>
  <c r="D76" i="72"/>
  <c r="D66" i="72"/>
  <c r="D73" i="72"/>
  <c r="D72" i="72"/>
  <c r="D74" i="72"/>
  <c r="D75" i="72"/>
  <c r="D70" i="72" l="1"/>
  <c r="D77" i="72" l="1"/>
  <c r="G72" i="72" l="1"/>
  <c r="G74" i="72"/>
  <c r="G73" i="72"/>
  <c r="G76" i="72"/>
  <c r="G71" i="72"/>
  <c r="G75" i="72"/>
  <c r="G70" i="72"/>
  <c r="G77" i="72" l="1"/>
  <c r="C70" i="72"/>
  <c r="C77" i="72" s="1"/>
  <c r="F74" i="72" l="1"/>
  <c r="F72" i="72"/>
  <c r="F76" i="72"/>
  <c r="F73" i="72"/>
  <c r="F71" i="72"/>
  <c r="F75" i="72"/>
  <c r="F70" i="72"/>
  <c r="F77"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desaquidesannes</author>
  </authors>
  <commentList>
    <comment ref="F97" authorId="0" shapeId="0" xr:uid="{00000000-0006-0000-1600-000001000000}">
      <text>
        <r>
          <rPr>
            <b/>
            <sz val="9"/>
            <color rgb="FF000000"/>
            <rFont val="Tahoma"/>
            <family val="2"/>
          </rPr>
          <t xml:space="preserve">Il s'agit de la maturité moyenne pondérée des seules </t>
        </r>
        <r>
          <rPr>
            <b/>
            <u/>
            <sz val="9"/>
            <color rgb="FF000000"/>
            <rFont val="Tahoma"/>
            <family val="2"/>
          </rPr>
          <t xml:space="preserve">émissions privées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<sst xmlns="http://schemas.openxmlformats.org/spreadsheetml/2006/main" count="9861" uniqueCount="5064">
  <si>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</si>
  <si>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</si>
  <si>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</si>
  <si>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</si>
  <si>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</si>
  <si>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</si>
  <si>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indexed="63"/>
        <rFont val="Calibri"/>
        <family val="2"/>
      </rPr>
      <t>Products</t>
    </r>
    <r>
      <rPr>
        <sz val="13"/>
        <color indexed="63"/>
        <rFont val="Calibri"/>
        <family val="2"/>
      </rPr>
      <t>") (the "</t>
    </r>
    <r>
      <rPr>
        <b/>
        <sz val="13"/>
        <color indexed="63"/>
        <rFont val="Calibri"/>
        <family val="2"/>
      </rPr>
      <t>Product Information</t>
    </r>
    <r>
      <rPr>
        <sz val="13"/>
        <color indexed="63"/>
        <rFont val="Calibri"/>
        <family val="2"/>
      </rPr>
      <t>") by an issuer of ("</t>
    </r>
    <r>
      <rPr>
        <b/>
        <sz val="13"/>
        <color indexed="63"/>
        <rFont val="Calibri"/>
        <family val="2"/>
      </rPr>
      <t>Issuer</t>
    </r>
    <r>
      <rPr>
        <sz val="13"/>
        <color indexed="63"/>
        <rFont val="Calibri"/>
        <family val="2"/>
      </rPr>
      <t>"), or potential investor in ("</t>
    </r>
    <r>
      <rPr>
        <b/>
        <sz val="13"/>
        <color indexed="63"/>
        <rFont val="Calibri"/>
        <family val="2"/>
      </rPr>
      <t>Investor</t>
    </r>
    <r>
      <rPr>
        <sz val="13"/>
        <color indexed="63"/>
        <rFont val="Calibri"/>
        <family val="2"/>
      </rPr>
      <t>"), such Products (an Issuer, Investor, or any other person accessing this Site, each a "</t>
    </r>
    <r>
      <rPr>
        <b/>
        <sz val="13"/>
        <color indexed="63"/>
        <rFont val="Calibri"/>
        <family val="2"/>
      </rPr>
      <t>User</t>
    </r>
    <r>
      <rPr>
        <sz val="13"/>
        <color indexed="63"/>
        <rFont val="Calibri"/>
        <family val="2"/>
      </rPr>
      <t>" or "</t>
    </r>
    <r>
      <rPr>
        <b/>
        <sz val="13"/>
        <color indexed="63"/>
        <rFont val="Calibri"/>
        <family val="2"/>
      </rPr>
      <t>you</t>
    </r>
    <r>
      <rPr>
        <sz val="13"/>
        <color indexed="63"/>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</si>
  <si>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indexed="63"/>
        <rFont val="Calibri"/>
        <family val="2"/>
      </rPr>
      <t>T&amp;Cs</t>
    </r>
    <r>
      <rPr>
        <sz val="13"/>
        <color indexed="63"/>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</si>
  <si>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indexed="63"/>
        <rFont val="Calibri"/>
        <family val="2"/>
      </rPr>
      <t>Our Acceptable Use Policy</t>
    </r>
    <r>
      <rPr>
        <sz val="13"/>
        <color indexed="63"/>
        <rFont val="Calibri"/>
        <family val="2"/>
      </rPr>
      <t> and </t>
    </r>
    <r>
      <rPr>
        <b/>
        <sz val="13"/>
        <color indexed="63"/>
        <rFont val="Calibri"/>
        <family val="2"/>
      </rPr>
      <t>Privacy Policy</t>
    </r>
    <r>
      <rPr>
        <sz val="13"/>
        <color indexed="63"/>
        <rFont val="Calibri"/>
        <family val="2"/>
      </rPr>
      <t> are incorporated into these T&amp;Cs.</t>
    </r>
  </si>
  <si>
    <r>
      <rPr>
        <sz val="13"/>
        <color rgb="FF1E1B1D"/>
        <rFont val="Calibri"/>
        <family val="2"/>
      </rPr>
      <t xml:space="preserve"> Please read the T&amp;Cs carefully before you start to use the Site. By clicking </t>
    </r>
    <r>
      <rPr>
        <b/>
        <sz val="13"/>
        <color indexed="63"/>
        <rFont val="Calibri"/>
        <family val="2"/>
      </rPr>
      <t>'Accept'</t>
    </r>
    <r>
      <rPr>
        <sz val="13"/>
        <color indexed="63"/>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</si>
  <si>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</si>
  <si>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</si>
  <si>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</si>
  <si>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</si>
  <si>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</si>
  <si>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</si>
  <si>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</si>
  <si>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</si>
  <si>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</si>
  <si>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</si>
  <si>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</si>
  <si>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</si>
  <si>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</si>
  <si>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</si>
  <si>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</si>
  <si>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</si>
  <si>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</si>
  <si>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</si>
  <si>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</si>
  <si>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</si>
  <si>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</si>
  <si>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</si>
  <si>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</si>
  <si>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</si>
  <si>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</si>
  <si>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</si>
  <si>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</si>
  <si>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</si>
  <si>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</si>
  <si>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</si>
  <si>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</si>
  <si>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</si>
  <si>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</si>
  <si>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</si>
  <si>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</si>
  <si>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</si>
  <si>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</si>
  <si>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</si>
  <si>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</si>
  <si>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</si>
  <si>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</si>
  <si>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</si>
  <si>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</si>
  <si>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</si>
  <si>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</si>
  <si>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</si>
  <si>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</si>
  <si>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</si>
  <si>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</si>
  <si>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</si>
  <si>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indexed="63"/>
        <rFont val="Calibri"/>
        <family val="2"/>
      </rPr>
      <t>Acceptable Use Policy</t>
    </r>
    <r>
      <rPr>
        <sz val="13"/>
        <color indexed="63"/>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indexed="63"/>
        <rFont val="Calibri"/>
        <family val="2"/>
      </rPr>
      <t>Acceptable Use Policy</t>
    </r>
    <r>
      <rPr>
        <sz val="13"/>
        <color indexed="63"/>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</si>
  <si>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</si>
  <si>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</si>
  <si>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</si>
  <si>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</si>
  <si>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</si>
  <si>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</si>
  <si>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</si>
  <si>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</si>
  <si>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</si>
  <si>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</si>
  <si>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</si>
  <si>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</si>
  <si>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</si>
  <si>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</si>
  <si>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</si>
  <si>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</si>
  <si>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</si>
  <si>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</si>
  <si>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</si>
  <si>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</si>
  <si>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</si>
  <si>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</si>
  <si>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</si>
  <si>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</si>
  <si>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</si>
  <si>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</si>
  <si>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</si>
  <si>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</si>
  <si>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</si>
  <si>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</si>
  <si>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</si>
  <si>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</si>
  <si>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</si>
  <si>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</si>
  <si>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</si>
  <si>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</si>
  <si>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</si>
  <si>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</si>
  <si>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</si>
  <si>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</si>
  <si>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</si>
  <si>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</si>
  <si>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</si>
  <si>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</si>
  <si>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</si>
  <si>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</si>
  <si>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</si>
  <si>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</si>
  <si>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</si>
  <si>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</si>
  <si>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</si>
  <si>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</si>
  <si>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</si>
  <si>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</si>
  <si>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</si>
  <si>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</si>
  <si>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</si>
  <si>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</si>
  <si>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</si>
  <si>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</si>
  <si>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</si>
  <si>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</si>
  <si>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</si>
  <si>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</si>
  <si>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</si>
  <si>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</si>
  <si>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</si>
  <si>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indexed="63"/>
        <rFont val="Calibri"/>
        <family val="2"/>
      </rPr>
      <t>we</t>
    </r>
    <r>
      <rPr>
        <sz val="13"/>
        <color indexed="63"/>
        <rFont val="Calibri"/>
        <family val="2"/>
      </rPr>
      <t>" or "</t>
    </r>
    <r>
      <rPr>
        <b/>
        <sz val="13"/>
        <color indexed="63"/>
        <rFont val="Calibri"/>
        <family val="2"/>
      </rPr>
      <t>us</t>
    </r>
    <r>
      <rPr>
        <sz val="13"/>
        <color indexed="63"/>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</si>
  <si>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</si>
  <si>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</si>
  <si>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</si>
  <si>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</si>
  <si>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</si>
  <si>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</si>
  <si>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</si>
  <si>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</si>
  <si>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</si>
  <si>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</si>
  <si>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</si>
  <si>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</si>
  <si>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</si>
  <si>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</si>
  <si>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</si>
  <si>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</si>
  <si>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</si>
  <si>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</si>
  <si>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</si>
  <si>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</si>
  <si>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</si>
  <si>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</si>
  <si>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</si>
  <si>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</si>
  <si>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</si>
  <si>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</si>
  <si>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</si>
  <si>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</si>
  <si>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</si>
  <si>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</si>
  <si>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</si>
  <si>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</si>
  <si>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</si>
  <si>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</si>
  <si>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France</t>
  </si>
  <si>
    <t>BPCE Home Loan SFH</t>
  </si>
  <si>
    <t xml:space="preserve">Reporting Date: </t>
  </si>
  <si>
    <t xml:space="preserve">Cut-off Date: </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</si>
  <si>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</si>
  <si>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</si>
  <si>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</si>
  <si>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</si>
  <si>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</si>
  <si>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</si>
  <si>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</si>
  <si>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</si>
  <si>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</si>
  <si>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</si>
  <si>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</si>
  <si>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</si>
  <si>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</si>
  <si>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</si>
  <si>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indexed="8"/>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</si>
  <si>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</si>
  <si>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</si>
  <si>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</si>
  <si>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</si>
  <si>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</si>
  <si>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</si>
  <si>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</si>
  <si>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</si>
  <si>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</si>
  <si>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</si>
  <si>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</si>
  <si>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</si>
  <si>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</si>
  <si>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</si>
  <si>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</si>
  <si>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</si>
  <si>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</si>
  <si>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</si>
  <si>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</si>
  <si>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</si>
  <si>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</si>
  <si>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</si>
  <si>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</si>
  <si>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</si>
  <si>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</si>
  <si>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</si>
  <si>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</si>
  <si>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</si>
  <si>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</si>
  <si>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</si>
  <si>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</si>
  <si>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</si>
  <si>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</si>
  <si>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</si>
  <si>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</si>
  <si>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</si>
  <si>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</si>
  <si>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</si>
  <si>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</si>
  <si>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</si>
  <si>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</si>
  <si>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rPr>
        <sz val="11"/>
        <color theme="1"/>
        <rFont val="Calibri"/>
        <family val="2"/>
      </rPr>
      <t>The HTT shoul</t>
    </r>
    <r>
      <rPr>
        <sz val="11"/>
        <color theme="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</si>
  <si>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</si>
  <si>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</si>
  <si>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</si>
  <si>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</si>
  <si>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</si>
  <si>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</si>
  <si>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</si>
  <si>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</si>
  <si>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</si>
  <si>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</si>
  <si>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</si>
  <si>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</si>
  <si>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</si>
  <si>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</si>
  <si>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</si>
  <si>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</si>
  <si>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</si>
  <si>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</si>
  <si>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</si>
  <si>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</si>
  <si>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</si>
  <si>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</si>
  <si>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</si>
  <si>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</si>
  <si>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</si>
  <si>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</si>
  <si>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</si>
  <si>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</si>
  <si>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</si>
  <si>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</si>
  <si>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</si>
  <si>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</si>
  <si>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</si>
  <si>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</si>
  <si>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A. Harmonised Transparency Template - General Information</t>
  </si>
  <si>
    <t>HTT 2026</t>
  </si>
  <si>
    <t>Reporting in Domestic Currency</t>
  </si>
  <si>
    <t>EUR</t>
  </si>
  <si>
    <t>CONTENT OF TAB A</t>
  </si>
  <si>
    <t>1. Basic Facts</t>
  </si>
  <si>
    <t>2. Regulatory Summary</t>
  </si>
  <si>
    <t>3. General Cover Pool / Covered Bond Information</t>
  </si>
  <si>
    <t>4. Compliance Art 14 CBD Check Table</t>
  </si>
  <si>
    <t>5. References to Capital Requirements Regulation (CRR) 129(1)</t>
  </si>
  <si>
    <t>6. Other relevant information</t>
  </si>
  <si>
    <t>Field Number</t>
  </si>
  <si>
    <t>G.1.1.1</t>
  </si>
  <si>
    <t>Country</t>
  </si>
  <si>
    <t>G.1.1.2</t>
  </si>
  <si>
    <t>Issuer Name</t>
  </si>
  <si>
    <t>BPCE SFH</t>
  </si>
  <si>
    <t>G.1.1.3</t>
  </si>
  <si>
    <t>Labelled Cover Pool Name</t>
  </si>
  <si>
    <t>Premium</t>
  </si>
  <si>
    <t>G.1.1.4</t>
  </si>
  <si>
    <t>Link to Issuer's Website</t>
  </si>
  <si>
    <t>https://www.groupebpce.com/investisseurs/dette/bpce-sfh/</t>
  </si>
  <si>
    <t>G.1.1.5</t>
  </si>
  <si>
    <t>Cut-off date</t>
  </si>
  <si>
    <t>G.1.1.6</t>
  </si>
  <si>
    <t>Cover Pool's FIGI Identifier (non-mandatory)</t>
  </si>
  <si>
    <t>BBG008P8X304 </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</si>
  <si>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</si>
  <si>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</si>
  <si>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</si>
  <si>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</si>
  <si>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</si>
  <si>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</si>
  <si>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</si>
  <si>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</si>
  <si>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</si>
  <si>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</si>
  <si>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</si>
  <si>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</si>
  <si>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t>
  </si>
  <si>
    <t>G.2.1.3</t>
  </si>
  <si>
    <t>CRR Compliance (Y/N)</t>
  </si>
  <si>
    <t>OG.2.1.1</t>
  </si>
  <si>
    <t>LCR status</t>
  </si>
  <si>
    <t>http://www.ecbc.eu/framework/90/Obligations_à_l%27Habitat_-_OH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</si>
  <si>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</si>
  <si>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</si>
  <si>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</si>
  <si>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</si>
  <si>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</si>
  <si>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</si>
  <si>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</si>
  <si>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</si>
  <si>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</si>
  <si>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</si>
  <si>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</si>
  <si>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</si>
  <si>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</si>
  <si>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</si>
  <si>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</si>
  <si>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</si>
  <si>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</si>
  <si>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</si>
  <si>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</si>
  <si>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</si>
  <si>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</si>
  <si>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</si>
  <si>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</si>
  <si>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</si>
  <si>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</si>
  <si>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For Legal supervosory</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</si>
  <si>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</si>
  <si>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</si>
  <si>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</si>
  <si>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</si>
  <si>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</si>
  <si>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</si>
  <si>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</si>
  <si>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</si>
  <si>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</si>
  <si>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</si>
  <si>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</si>
  <si>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</si>
  <si>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</si>
  <si>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</si>
  <si>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</si>
  <si>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</si>
  <si>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</si>
  <si>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</si>
  <si>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</si>
  <si>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</si>
  <si>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</si>
  <si>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</si>
  <si>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</si>
  <si>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</si>
  <si>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</si>
  <si>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</si>
  <si>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</si>
  <si>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</si>
  <si>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</si>
  <si>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</si>
  <si>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</si>
  <si>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</si>
  <si>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</si>
  <si>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</si>
  <si>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</si>
  <si>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</si>
  <si>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</si>
  <si>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</si>
  <si>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</si>
  <si>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</si>
  <si>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</si>
  <si>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</si>
  <si>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</si>
  <si>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</si>
  <si>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</si>
  <si>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</si>
  <si>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</si>
  <si>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</si>
  <si>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</si>
  <si>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</si>
  <si>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</si>
  <si>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</si>
  <si>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</si>
  <si>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</si>
  <si>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</si>
  <si>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</si>
  <si>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</si>
  <si>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</si>
  <si>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</si>
  <si>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</si>
  <si>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</si>
  <si>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</si>
  <si>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</si>
  <si>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</si>
  <si>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</si>
  <si>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</si>
  <si>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</si>
  <si>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</si>
  <si>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</si>
  <si>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</si>
  <si>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</si>
  <si>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</si>
  <si>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</si>
  <si>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</si>
  <si>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</si>
  <si>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</si>
  <si>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</si>
  <si>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</si>
  <si>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</si>
  <si>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</si>
  <si>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</si>
  <si>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</si>
  <si>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</si>
  <si>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</si>
  <si>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</si>
  <si>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</si>
  <si>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</si>
  <si>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</si>
  <si>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</si>
  <si>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</si>
  <si>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</si>
  <si>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</si>
  <si>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</si>
  <si>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</si>
  <si>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</si>
  <si>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</si>
  <si>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</si>
  <si>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</si>
  <si>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</si>
  <si>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</si>
  <si>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</si>
  <si>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</si>
  <si>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</si>
  <si>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</si>
  <si>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</si>
  <si>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</si>
  <si>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</si>
  <si>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</si>
  <si>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</si>
  <si>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</si>
  <si>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</si>
  <si>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</si>
  <si>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</si>
  <si>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</si>
  <si>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</si>
  <si>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</si>
  <si>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</si>
  <si>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</si>
  <si>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</si>
  <si>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</si>
  <si>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</si>
  <si>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</si>
  <si>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</si>
  <si>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</si>
  <si>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</si>
  <si>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</si>
  <si>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</si>
  <si>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</si>
  <si>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</si>
  <si>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</si>
  <si>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</si>
  <si>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</si>
  <si>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</si>
  <si>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</si>
  <si>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</si>
  <si>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</si>
  <si>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</si>
  <si>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</si>
  <si>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</si>
  <si>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</si>
  <si>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</si>
  <si>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</si>
  <si>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</si>
  <si>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</si>
  <si>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</si>
  <si>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&lt;12</t>
  </si>
  <si>
    <t>G.3.7.2</t>
  </si>
  <si>
    <t>&gt;=12-&lt;24</t>
  </si>
  <si>
    <t>G.3.7.3</t>
  </si>
  <si>
    <t>&gt;=24-&lt;36</t>
  </si>
  <si>
    <t>G.3.7.4</t>
  </si>
  <si>
    <t>&gt;=36-&lt;60</t>
  </si>
  <si>
    <t>G.3.7.5</t>
  </si>
  <si>
    <t>&gt;=60</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</si>
  <si>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</si>
  <si>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</si>
  <si>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</si>
  <si>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</si>
  <si>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</si>
  <si>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</si>
  <si>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</si>
  <si>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</si>
  <si>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</si>
  <si>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</si>
  <si>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</si>
  <si>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</si>
  <si>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</si>
  <si>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</si>
  <si>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</si>
  <si>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</si>
  <si>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</si>
  <si>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</si>
  <si>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</si>
  <si>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</si>
  <si>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</si>
  <si>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</si>
  <si>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</si>
  <si>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</si>
  <si>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</si>
  <si>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</si>
  <si>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</si>
  <si>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</si>
  <si>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</si>
  <si>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</si>
  <si>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</si>
  <si>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</si>
  <si>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</si>
  <si>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</si>
  <si>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</si>
  <si>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 No. of Loans</t>
  </si>
  <si>
    <t>G.3.9.1</t>
  </si>
  <si>
    <t>Cash</t>
  </si>
  <si>
    <t>G.3.9.2</t>
  </si>
  <si>
    <t>Exposures to/guaranteed by Supranational, Sovereign, Agency (SSA)</t>
  </si>
  <si>
    <t>G.3.9.3</t>
  </si>
  <si>
    <t>Exposures to central banks</t>
  </si>
  <si>
    <t>G.3.9.4</t>
  </si>
  <si>
    <t>Exposures to credit institutions</t>
  </si>
  <si>
    <t>0-200000</t>
  </si>
  <si>
    <t>G.3.9.5</t>
  </si>
  <si>
    <t>200000-400000</t>
  </si>
  <si>
    <t>G.3.9.6</t>
  </si>
  <si>
    <t>400000-600000</t>
  </si>
  <si>
    <t>OG.3.9.1</t>
  </si>
  <si>
    <t>o/w EU gvts or quasi govts</t>
  </si>
  <si>
    <t>600000-800000</t>
  </si>
  <si>
    <t>OG.3.9.2</t>
  </si>
  <si>
    <t>o/w third-party countries  Credit Quality Step 1 (CQS1) gvts or quasi govts</t>
  </si>
  <si>
    <t>800000-1000000</t>
  </si>
  <si>
    <t>OG.3.9.3</t>
  </si>
  <si>
    <t>o/w third-party countries Credit Quality Step 2 (CQS2) gvts or quasi govts</t>
  </si>
  <si>
    <t>&gt;1000000</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</si>
  <si>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</si>
  <si>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</si>
  <si>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</si>
  <si>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</si>
  <si>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</si>
  <si>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</si>
  <si>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</si>
  <si>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</si>
  <si>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</si>
  <si>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</si>
  <si>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</si>
  <si>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</si>
  <si>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</si>
  <si>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</si>
  <si>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</si>
  <si>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</si>
  <si>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</si>
  <si>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</si>
  <si>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</si>
  <si>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</si>
  <si>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</si>
  <si>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</si>
  <si>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</si>
  <si>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LTV0_40</t>
  </si>
  <si>
    <t>G.3.10.5</t>
  </si>
  <si>
    <t>Switzerland</t>
  </si>
  <si>
    <t>LTV40_50</t>
  </si>
  <si>
    <t>G.3.10.6</t>
  </si>
  <si>
    <t>United Kingdom</t>
  </si>
  <si>
    <t>LTV50_60</t>
  </si>
  <si>
    <t>G.3.10.7</t>
  </si>
  <si>
    <t>Australia</t>
  </si>
  <si>
    <t>LTV60_70</t>
  </si>
  <si>
    <t>G.3.10.8</t>
  </si>
  <si>
    <t>Brazil</t>
  </si>
  <si>
    <t>LTV70_80</t>
  </si>
  <si>
    <t>G.3.10.9</t>
  </si>
  <si>
    <t>Canada</t>
  </si>
  <si>
    <t>LTV80_85</t>
  </si>
  <si>
    <t>LTV85_90</t>
  </si>
  <si>
    <t>G.3.10.10</t>
  </si>
  <si>
    <t>Japan</t>
  </si>
  <si>
    <t>LTV90_95</t>
  </si>
  <si>
    <t>LTV95_100</t>
  </si>
  <si>
    <t>G.3.10.11</t>
  </si>
  <si>
    <t>Korea</t>
  </si>
  <si>
    <t>LTV100_105</t>
  </si>
  <si>
    <t>LTV105_SUP</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</si>
  <si>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</si>
  <si>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</si>
  <si>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</si>
  <si>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</si>
  <si>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</si>
  <si>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</si>
  <si>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</si>
  <si>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</si>
  <si>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</si>
  <si>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</si>
  <si>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</si>
  <si>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</si>
  <si>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</si>
  <si>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</si>
  <si>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</si>
  <si>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</si>
  <si>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</si>
  <si>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</si>
  <si>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</si>
  <si>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</si>
  <si>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</si>
  <si>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</si>
  <si>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</si>
  <si>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</si>
  <si>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</si>
  <si>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</si>
  <si>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</si>
  <si>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</si>
  <si>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</si>
  <si>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</si>
  <si>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</si>
  <si>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</si>
  <si>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</si>
  <si>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 xml:space="preserve">http://www.ecbc.eu/framework/90/Obligations_%C3%A0_l%27Habitat_-_OH </t>
  </si>
  <si>
    <t>13. Derivatives &amp; Swaps</t>
  </si>
  <si>
    <t>G.3.13.1</t>
  </si>
  <si>
    <t>Derivatives in the register / cover pool [notional] (mn)</t>
  </si>
  <si>
    <t>FGAS</t>
  </si>
  <si>
    <t>HYPO</t>
  </si>
  <si>
    <t>PPD</t>
  </si>
  <si>
    <t>HYPOPPDFGA</t>
  </si>
  <si>
    <t>G.3.13.2</t>
  </si>
  <si>
    <t>Type of interest rate swaps (intra-group, external or both)</t>
  </si>
  <si>
    <t>ND</t>
  </si>
  <si>
    <t>CEGC</t>
  </si>
  <si>
    <t>PARNASSE</t>
  </si>
  <si>
    <t>CL</t>
  </si>
  <si>
    <t>CLCEGCPARN</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</si>
  <si>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</si>
  <si>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</si>
  <si>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</si>
  <si>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</si>
  <si>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</si>
  <si>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</si>
  <si>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</si>
  <si>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</si>
  <si>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</si>
  <si>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</si>
  <si>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</si>
  <si>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</si>
  <si>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</si>
  <si>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No</t>
  </si>
  <si>
    <t>G.3.14.2</t>
  </si>
  <si>
    <t>Who has provided Second Party Opinion</t>
  </si>
  <si>
    <t>ND2</t>
  </si>
  <si>
    <t>G.3.14.3</t>
  </si>
  <si>
    <t xml:space="preserve">Further details on proceeds strategy </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</si>
  <si>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</si>
  <si>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</si>
  <si>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Yes</t>
  </si>
  <si>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</si>
  <si>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</si>
  <si>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</si>
  <si>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</si>
  <si>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</si>
  <si>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</si>
  <si>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</si>
  <si>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</si>
  <si>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</si>
  <si>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</si>
  <si>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</si>
  <si>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</si>
  <si>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</si>
  <si>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</si>
  <si>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</si>
  <si>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</si>
  <si>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</si>
  <si>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</si>
  <si>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</si>
  <si>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</si>
  <si>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</si>
  <si>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</si>
  <si>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</si>
  <si>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</si>
  <si>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</si>
  <si>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</si>
  <si>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</si>
  <si>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</si>
  <si>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</si>
  <si>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</si>
  <si>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</si>
  <si>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</si>
  <si>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</si>
  <si>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</si>
  <si>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</si>
  <si>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</si>
  <si>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</si>
  <si>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</si>
  <si>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</si>
  <si>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</si>
  <si>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</si>
  <si>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</si>
  <si>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</si>
  <si>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</si>
  <si>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</si>
  <si>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</si>
  <si>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</si>
  <si>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</si>
  <si>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</si>
  <si>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</si>
  <si>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</si>
  <si>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</si>
  <si>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</si>
  <si>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</si>
  <si>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</si>
  <si>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</si>
  <si>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</si>
  <si>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</si>
  <si>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43 for Mortgage Assets</t>
  </si>
  <si>
    <t>48 for Public Sector Assets</t>
  </si>
  <si>
    <t>G.4.1.5</t>
  </si>
  <si>
    <t>(c)        Type of cover assets:</t>
  </si>
  <si>
    <t>G.4.1.6</t>
  </si>
  <si>
    <t xml:space="preserve">(c)        Loan size: </t>
  </si>
  <si>
    <t>186 for Residential Mortgage Assets</t>
  </si>
  <si>
    <t>424 for Commercial Mortgage Assets</t>
  </si>
  <si>
    <t>18 for Public Sector Assets</t>
  </si>
  <si>
    <t>116 for Shipping Assets</t>
  </si>
  <si>
    <t>G.4.1.7</t>
  </si>
  <si>
    <t xml:space="preserve">(c)       Valuation Method: </t>
  </si>
  <si>
    <t>link to Glossary HG.1.15</t>
  </si>
  <si>
    <t>G.4.1.8</t>
  </si>
  <si>
    <t xml:space="preserve">            (d)        Interest rate risk - cover pool:</t>
  </si>
  <si>
    <t>149 for Mortgage Assets</t>
  </si>
  <si>
    <t>129 for Public Sector Assets</t>
  </si>
  <si>
    <t>80 for Shipping Assets</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</si>
  <si>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</si>
  <si>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</si>
  <si>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</si>
  <si>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</si>
  <si>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</si>
  <si>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</si>
  <si>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</si>
  <si>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</si>
  <si>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</si>
  <si>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</si>
  <si>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</si>
  <si>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</si>
  <si>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</si>
  <si>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</si>
  <si>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</si>
  <si>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</si>
  <si>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</si>
  <si>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18 for Harmonised Glossary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</si>
  <si>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</si>
  <si>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</si>
  <si>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</si>
  <si>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</si>
  <si>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</si>
  <si>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</si>
  <si>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</si>
  <si>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</si>
  <si>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</si>
  <si>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</si>
  <si>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</si>
  <si>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179 for Mortgage Assets</t>
  </si>
  <si>
    <t>166 for Public Sector Assets</t>
  </si>
  <si>
    <t>110 for Shipping Assets</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</si>
  <si>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</si>
  <si>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</si>
  <si>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</si>
  <si>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</si>
  <si>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</si>
  <si>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</si>
  <si>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</si>
  <si>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</si>
  <si>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</si>
  <si>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</si>
  <si>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</si>
  <si>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</si>
  <si>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</si>
  <si>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</si>
  <si>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</si>
  <si>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</si>
  <si>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</si>
  <si>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</si>
  <si>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</si>
  <si>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</si>
  <si>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</si>
  <si>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</si>
  <si>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</si>
  <si>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</si>
  <si>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</si>
  <si>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</si>
  <si>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</si>
  <si>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</si>
  <si>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</si>
  <si>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</si>
  <si>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</si>
  <si>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</si>
  <si>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</si>
  <si>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</si>
  <si>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</si>
  <si>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</si>
  <si>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</si>
  <si>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</si>
  <si>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</si>
  <si>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</si>
  <si>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</si>
  <si>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</si>
  <si>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</si>
  <si>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</si>
  <si>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</si>
  <si>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</si>
  <si>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</si>
  <si>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</si>
  <si>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</si>
  <si>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</si>
  <si>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</si>
  <si>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</si>
  <si>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</si>
  <si>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</si>
  <si>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</si>
  <si>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</si>
  <si>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</si>
  <si>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</si>
  <si>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</si>
  <si>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</si>
  <si>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</si>
  <si>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</si>
  <si>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</si>
  <si>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</si>
  <si>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</si>
  <si>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</si>
  <si>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</si>
  <si>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</si>
  <si>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</si>
  <si>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</si>
  <si>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</si>
  <si>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</si>
  <si>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</si>
  <si>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</si>
  <si>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</si>
  <si>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</si>
  <si>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</si>
  <si>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</si>
  <si>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</si>
  <si>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</si>
  <si>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</si>
  <si>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</si>
  <si>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</si>
  <si>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</si>
  <si>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</si>
  <si>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</si>
  <si>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</si>
  <si>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</si>
  <si>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</si>
  <si>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</si>
  <si>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</si>
  <si>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</si>
  <si>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</si>
  <si>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</si>
  <si>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</si>
  <si>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</si>
  <si>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</si>
  <si>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</si>
  <si>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</si>
  <si>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</si>
  <si>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</si>
  <si>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</si>
  <si>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</si>
  <si>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</si>
  <si>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</si>
  <si>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</si>
  <si>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</si>
  <si>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</si>
  <si>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</si>
  <si>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</si>
  <si>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</si>
  <si>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</si>
  <si>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</si>
  <si>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 Total Sustainable Mortgages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</si>
  <si>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</si>
  <si>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</si>
  <si>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</si>
  <si>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</si>
  <si>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</si>
  <si>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</si>
  <si>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</si>
  <si>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</si>
  <si>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</si>
  <si>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</si>
  <si>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</si>
  <si>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</si>
  <si>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</si>
  <si>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</si>
  <si>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</si>
  <si>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</si>
  <si>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</si>
  <si>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</si>
  <si>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</si>
  <si>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</si>
  <si>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</si>
  <si>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</si>
  <si>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</si>
  <si>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</si>
  <si>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</si>
  <si>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</si>
  <si>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</si>
  <si>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</si>
  <si>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</si>
  <si>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</si>
  <si>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</si>
  <si>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</si>
  <si>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</si>
  <si>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</si>
  <si>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</si>
  <si>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</si>
  <si>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</si>
  <si>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</si>
  <si>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</si>
  <si>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</si>
  <si>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</si>
  <si>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</si>
  <si>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</si>
  <si>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</si>
  <si>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</si>
  <si>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</si>
  <si>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</si>
  <si>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</si>
  <si>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</si>
  <si>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</si>
  <si>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</si>
  <si>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</si>
  <si>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</si>
  <si>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</si>
  <si>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</si>
  <si>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</si>
  <si>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</si>
  <si>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</si>
  <si>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</si>
  <si>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</si>
  <si>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</si>
  <si>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</si>
  <si>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</si>
  <si>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</si>
  <si>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</si>
  <si>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</si>
  <si>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</si>
  <si>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</si>
  <si>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</si>
  <si>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</si>
  <si>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</si>
  <si>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</si>
  <si>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</si>
  <si>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</si>
  <si>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</si>
  <si>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</si>
  <si>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</si>
  <si>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</si>
  <si>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</si>
  <si>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</si>
  <si>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</si>
  <si>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</si>
  <si>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</si>
  <si>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</si>
  <si>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</si>
  <si>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</si>
  <si>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</si>
  <si>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</si>
  <si>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</si>
  <si>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</si>
  <si>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</si>
  <si>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</si>
  <si>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</si>
  <si>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</si>
  <si>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</si>
  <si>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</si>
  <si>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</si>
  <si>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 Franche-Comté</t>
  </si>
  <si>
    <t>M.7.5.3</t>
  </si>
  <si>
    <t>Bretagne</t>
  </si>
  <si>
    <t>M.7.5.4</t>
  </si>
  <si>
    <t>Centre Val de loire</t>
  </si>
  <si>
    <t>M.7.5.5</t>
  </si>
  <si>
    <t>Corse</t>
  </si>
  <si>
    <t>M.7.5.6</t>
  </si>
  <si>
    <t>Grand-Est</t>
  </si>
  <si>
    <t>M.7.5.7</t>
  </si>
  <si>
    <t>Hauts-de-France</t>
  </si>
  <si>
    <t>M.7.5.8</t>
  </si>
  <si>
    <t>Ile-de-France</t>
  </si>
  <si>
    <t>M.7.5.9</t>
  </si>
  <si>
    <t>Normandie</t>
  </si>
  <si>
    <t>M.7.5.10</t>
  </si>
  <si>
    <t>Nouvelle-Aquitaine</t>
  </si>
  <si>
    <t>M.7.5.11</t>
  </si>
  <si>
    <t>Occitanie</t>
  </si>
  <si>
    <t>M.7.5.12</t>
  </si>
  <si>
    <t>Outre mer</t>
  </si>
  <si>
    <t>DOM-TOM</t>
  </si>
  <si>
    <t>M.7.5.13</t>
  </si>
  <si>
    <t>Pays de la Loire</t>
  </si>
  <si>
    <t>M.7.5.14</t>
  </si>
  <si>
    <t>Provence-Alpes-Côte d'Azur</t>
  </si>
  <si>
    <t>M.7.5.15</t>
  </si>
  <si>
    <t>M.7.5.16</t>
  </si>
  <si>
    <t>other</t>
  </si>
  <si>
    <t>M.7.5.17</t>
  </si>
  <si>
    <t>No data</t>
  </si>
  <si>
    <t>NODAT</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</si>
  <si>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</si>
  <si>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</si>
  <si>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</si>
  <si>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</si>
  <si>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</si>
  <si>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</si>
  <si>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</si>
  <si>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</si>
  <si>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</si>
  <si>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</si>
  <si>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</si>
  <si>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</si>
  <si>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</si>
  <si>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</si>
  <si>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</si>
  <si>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</si>
  <si>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</si>
  <si>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</si>
  <si>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</si>
  <si>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</si>
  <si>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</si>
  <si>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</si>
  <si>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</si>
  <si>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</si>
  <si>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</si>
  <si>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</si>
  <si>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</si>
  <si>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</si>
  <si>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</si>
  <si>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</si>
  <si>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</si>
  <si>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</si>
  <si>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</si>
  <si>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</si>
  <si>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</si>
  <si>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</si>
  <si>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</si>
  <si>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</si>
  <si>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</si>
  <si>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</si>
  <si>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</si>
  <si>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</si>
  <si>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</si>
  <si>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</si>
  <si>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</si>
  <si>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</si>
  <si>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</si>
  <si>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</si>
  <si>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</si>
  <si>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</si>
  <si>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</si>
  <si>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</si>
  <si>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</si>
  <si>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</si>
  <si>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</si>
  <si>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</si>
  <si>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</si>
  <si>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</si>
  <si>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</si>
  <si>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</si>
  <si>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</si>
  <si>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</si>
  <si>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</si>
  <si>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</si>
  <si>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</si>
  <si>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</si>
  <si>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</si>
  <si>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</si>
  <si>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</si>
  <si>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</si>
  <si>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</si>
  <si>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</si>
  <si>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</si>
  <si>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</si>
  <si>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</si>
  <si>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</si>
  <si>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</si>
  <si>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</si>
  <si>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</si>
  <si>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</si>
  <si>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</si>
  <si>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</si>
  <si>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</si>
  <si>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</si>
  <si>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</si>
  <si>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</si>
  <si>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</si>
  <si>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</si>
  <si>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</si>
  <si>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</si>
  <si>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</si>
  <si>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</si>
  <si>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</si>
  <si>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</si>
  <si>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</si>
  <si>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</si>
  <si>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</si>
  <si>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</si>
  <si>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</si>
  <si>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</si>
  <si>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</si>
  <si>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</si>
  <si>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</si>
  <si>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</si>
  <si>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</si>
  <si>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</si>
  <si>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</si>
  <si>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</si>
  <si>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</si>
  <si>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</si>
  <si>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</si>
  <si>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</si>
  <si>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</si>
  <si>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</si>
  <si>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</si>
  <si>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</si>
  <si>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</si>
  <si>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</si>
  <si>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</si>
  <si>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</si>
  <si>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</si>
  <si>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</si>
  <si>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</si>
  <si>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</si>
  <si>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</si>
  <si>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</si>
  <si>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</si>
  <si>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</si>
  <si>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</si>
  <si>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</si>
  <si>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</si>
  <si>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</si>
  <si>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</si>
  <si>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</si>
  <si>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</si>
  <si>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</si>
  <si>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</si>
  <si>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</si>
  <si>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</si>
  <si>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</si>
  <si>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</si>
  <si>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</si>
  <si>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</si>
  <si>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</si>
  <si>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</si>
  <si>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</si>
  <si>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</si>
  <si>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</si>
  <si>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</si>
  <si>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</si>
  <si>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</si>
  <si>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</si>
  <si>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</si>
  <si>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</si>
  <si>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</si>
  <si>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</si>
  <si>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</si>
  <si>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</si>
  <si>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</si>
  <si>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</si>
  <si>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</si>
  <si>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</si>
  <si>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</si>
  <si>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</si>
  <si>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</si>
  <si>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</si>
  <si>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</si>
  <si>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</si>
  <si>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</si>
  <si>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</si>
  <si>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</si>
  <si>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</si>
  <si>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</si>
  <si>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</si>
  <si>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</si>
  <si>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</si>
  <si>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Owner Occupied</t>
  </si>
  <si>
    <t>M.7A.13.2</t>
  </si>
  <si>
    <t>Second home/Holiday houses</t>
  </si>
  <si>
    <t>Vacation / Second Home</t>
  </si>
  <si>
    <t>M.7A.13.3</t>
  </si>
  <si>
    <t>Buy-to-let/Non-owner occupied</t>
  </si>
  <si>
    <t>Buy to let</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</si>
  <si>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</si>
  <si>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</si>
  <si>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</si>
  <si>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</si>
  <si>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</si>
  <si>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</si>
  <si>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</si>
  <si>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</si>
  <si>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</si>
  <si>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</si>
  <si>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</si>
  <si>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</si>
  <si>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</si>
  <si>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</si>
  <si>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</si>
  <si>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</si>
  <si>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</si>
  <si>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</si>
  <si>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</si>
  <si>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</si>
  <si>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</si>
  <si>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</si>
  <si>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</si>
  <si>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</si>
  <si>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</si>
  <si>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</si>
  <si>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</si>
  <si>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</si>
  <si>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</si>
  <si>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</si>
  <si>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</si>
  <si>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</si>
  <si>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</si>
  <si>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</si>
  <si>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</si>
  <si>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</si>
  <si>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</si>
  <si>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</si>
  <si>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</si>
  <si>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</si>
  <si>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</si>
  <si>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</si>
  <si>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</si>
  <si>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</si>
  <si>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</si>
  <si>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</si>
  <si>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</si>
  <si>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</si>
  <si>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</si>
  <si>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</si>
  <si>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</si>
  <si>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</si>
  <si>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</si>
  <si>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</si>
  <si>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</si>
  <si>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</si>
  <si>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</si>
  <si>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</si>
  <si>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</si>
  <si>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</si>
  <si>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</si>
  <si>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</si>
  <si>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</si>
  <si>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</si>
  <si>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</si>
  <si>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</si>
  <si>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</si>
  <si>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</si>
  <si>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</si>
  <si>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</si>
  <si>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</si>
  <si>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</si>
  <si>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</si>
  <si>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</si>
  <si>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</si>
  <si>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</si>
  <si>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</si>
  <si>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</si>
  <si>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</si>
  <si>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</si>
  <si>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</si>
  <si>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</si>
  <si>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 No. of dwellings</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</si>
  <si>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</si>
  <si>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</si>
  <si>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</si>
  <si>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</si>
  <si>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</si>
  <si>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</si>
  <si>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</si>
  <si>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</si>
  <si>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</si>
  <si>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</si>
  <si>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</si>
  <si>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</si>
  <si>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</si>
  <si>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</si>
  <si>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</si>
  <si>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</si>
  <si>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</si>
  <si>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</si>
  <si>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</si>
  <si>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</si>
  <si>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</si>
  <si>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</si>
  <si>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</si>
  <si>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</si>
  <si>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</si>
  <si>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</si>
  <si>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</si>
  <si>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</si>
  <si>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</si>
  <si>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</si>
  <si>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</si>
  <si>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</si>
  <si>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</si>
  <si>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</si>
  <si>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</si>
  <si>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</si>
  <si>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</si>
  <si>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</si>
  <si>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</si>
  <si>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</si>
  <si>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</si>
  <si>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</si>
  <si>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</si>
  <si>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</si>
  <si>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</si>
  <si>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</si>
  <si>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</si>
  <si>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</si>
  <si>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</si>
  <si>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</si>
  <si>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</si>
  <si>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</si>
  <si>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</si>
  <si>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</si>
  <si>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</si>
  <si>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</si>
  <si>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</si>
  <si>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</si>
  <si>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</si>
  <si>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</si>
  <si>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</si>
  <si>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</si>
  <si>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</si>
  <si>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</si>
  <si>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</si>
  <si>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</si>
  <si>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</si>
  <si>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ND3</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</si>
  <si>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</si>
  <si>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</si>
  <si>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</si>
  <si>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</si>
  <si>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</si>
  <si>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</si>
  <si>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</si>
  <si>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</si>
  <si>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</si>
  <si>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</si>
  <si>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</si>
  <si>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</si>
  <si>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</si>
  <si>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</si>
  <si>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</si>
  <si>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</si>
  <si>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</si>
  <si>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</si>
  <si>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</si>
  <si>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</si>
  <si>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</si>
  <si>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</si>
  <si>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</si>
  <si>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</si>
  <si>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</si>
  <si>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</si>
  <si>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</si>
  <si>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</si>
  <si>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</si>
  <si>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</si>
  <si>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</si>
  <si>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</si>
  <si>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</si>
  <si>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</si>
  <si>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</si>
  <si>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</si>
  <si>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</si>
  <si>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</si>
  <si>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</si>
  <si>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</si>
  <si>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</si>
  <si>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</si>
  <si>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</si>
  <si>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</si>
  <si>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</si>
  <si>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</si>
  <si>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</si>
  <si>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</si>
  <si>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</si>
  <si>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</si>
  <si>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</si>
  <si>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</si>
  <si>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</si>
  <si>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</si>
  <si>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</si>
  <si>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</si>
  <si>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</si>
  <si>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</si>
  <si>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</si>
  <si>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</si>
  <si>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</si>
  <si>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</si>
  <si>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</si>
  <si>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</si>
  <si>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</si>
  <si>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</si>
  <si>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</si>
  <si>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</si>
  <si>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</si>
  <si>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</si>
  <si>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</si>
  <si>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</si>
  <si>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</si>
  <si>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</si>
  <si>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</si>
  <si>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</si>
  <si>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</si>
  <si>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</si>
  <si>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</si>
  <si>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</si>
  <si>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</si>
  <si>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</si>
  <si>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</si>
  <si>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</si>
  <si>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</si>
  <si>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</si>
  <si>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</si>
  <si>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</si>
  <si>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</si>
  <si>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</si>
  <si>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</si>
  <si>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</si>
  <si>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</si>
  <si>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</si>
  <si>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</si>
  <si>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</si>
  <si>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 xml:space="preserve">23. Loan to Value (LTV) Information - INDEXED </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</si>
  <si>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</si>
  <si>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</si>
  <si>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</si>
  <si>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</si>
  <si>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</si>
  <si>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</si>
  <si>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</si>
  <si>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</si>
  <si>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</si>
  <si>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</si>
  <si>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</si>
  <si>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</si>
  <si>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</si>
  <si>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</si>
  <si>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</si>
  <si>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</si>
  <si>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</si>
  <si>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</si>
  <si>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</si>
  <si>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</si>
  <si>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</si>
  <si>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</si>
  <si>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</si>
  <si>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</si>
  <si>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</si>
  <si>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</si>
  <si>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</si>
  <si>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</si>
  <si>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</si>
  <si>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</si>
  <si>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</si>
  <si>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</si>
  <si>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</si>
  <si>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</si>
  <si>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</si>
  <si>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</si>
  <si>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</si>
  <si>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</si>
  <si>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</si>
  <si>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</si>
  <si>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</si>
  <si>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</si>
  <si>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</si>
  <si>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</si>
  <si>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</si>
  <si>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</si>
  <si>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</si>
  <si>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</si>
  <si>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</si>
  <si>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</si>
  <si>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</si>
  <si>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</si>
  <si>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</si>
  <si>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</si>
  <si>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</si>
  <si>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</si>
  <si>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</si>
  <si>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</si>
  <si>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</si>
  <si>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</si>
  <si>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</si>
  <si>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</si>
  <si>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</si>
  <si>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</si>
  <si>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</si>
  <si>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</si>
  <si>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</si>
  <si>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</si>
  <si>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</si>
  <si>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</si>
  <si>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</si>
  <si>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</si>
  <si>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</si>
  <si>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</si>
  <si>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</si>
  <si>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</si>
  <si>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</si>
  <si>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</si>
  <si>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</si>
  <si>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</si>
  <si>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</si>
  <si>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</si>
  <si>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</si>
  <si>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</si>
  <si>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</si>
  <si>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</si>
  <si>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</si>
  <si>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</si>
  <si>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</si>
  <si>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</si>
  <si>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</si>
  <si>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</si>
  <si>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</si>
  <si>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</si>
  <si>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</si>
  <si>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</si>
  <si>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</si>
  <si>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</si>
  <si>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</si>
  <si>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</si>
  <si>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</si>
  <si>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</si>
  <si>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</si>
  <si>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</si>
  <si>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</si>
  <si>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</si>
  <si>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</si>
  <si>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</si>
  <si>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</si>
  <si>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</si>
  <si>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</si>
  <si>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</si>
  <si>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</si>
  <si>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</si>
  <si>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</si>
  <si>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</si>
  <si>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</si>
  <si>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</si>
  <si>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</si>
  <si>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</si>
  <si>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</si>
  <si>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</si>
  <si>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</si>
  <si>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</si>
  <si>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</si>
  <si>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</si>
  <si>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</si>
  <si>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</si>
  <si>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</si>
  <si>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</si>
  <si>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</si>
  <si>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</si>
  <si>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</si>
  <si>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</si>
  <si>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</si>
  <si>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</si>
  <si>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</si>
  <si>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</si>
  <si>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</si>
  <si>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</si>
  <si>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</si>
  <si>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</si>
  <si>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t xml:space="preserve">29. CO2 emission (kg of CO2 per year) - optional </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</si>
  <si>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</si>
  <si>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</si>
  <si>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</si>
  <si>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</si>
  <si>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</si>
  <si>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</si>
  <si>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</si>
  <si>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</si>
  <si>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</si>
  <si>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</si>
  <si>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</si>
  <si>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</si>
  <si>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</si>
  <si>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</si>
  <si>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</si>
  <si>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</si>
  <si>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</si>
  <si>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</si>
  <si>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</si>
  <si>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</si>
  <si>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</si>
  <si>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</si>
  <si>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</si>
  <si>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</si>
  <si>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</si>
  <si>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</si>
  <si>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</si>
  <si>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</si>
  <si>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</si>
  <si>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</si>
  <si>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</si>
  <si>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</si>
  <si>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</si>
  <si>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</si>
  <si>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</si>
  <si>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</si>
  <si>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</si>
  <si>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</si>
  <si>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</si>
  <si>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</si>
  <si>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</si>
  <si>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</si>
  <si>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</si>
  <si>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</si>
  <si>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</si>
  <si>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</si>
  <si>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</si>
  <si>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</si>
  <si>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</si>
  <si>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</si>
  <si>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</si>
  <si>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</si>
  <si>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</si>
  <si>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</si>
  <si>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</si>
  <si>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</si>
  <si>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</si>
  <si>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</si>
  <si>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</si>
  <si>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</si>
  <si>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</si>
  <si>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</si>
  <si>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</si>
  <si>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</si>
  <si>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</si>
  <si>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</si>
  <si>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</si>
  <si>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</si>
  <si>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</si>
  <si>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</si>
  <si>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</si>
  <si>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</si>
  <si>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</si>
  <si>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</si>
  <si>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</si>
  <si>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</si>
  <si>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</si>
  <si>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</si>
  <si>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</si>
  <si>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</si>
  <si>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</si>
  <si>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</si>
  <si>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</si>
  <si>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</si>
  <si>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</si>
  <si>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</si>
  <si>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</si>
  <si>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</si>
  <si>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</si>
  <si>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</si>
  <si>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</si>
  <si>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</si>
  <si>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</si>
  <si>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</si>
  <si>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</si>
  <si>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</si>
  <si>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</si>
  <si>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</si>
  <si>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</si>
  <si>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</si>
  <si>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</si>
  <si>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</si>
  <si>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</si>
  <si>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</si>
  <si>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</si>
  <si>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</si>
  <si>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</si>
  <si>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</si>
  <si>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</si>
  <si>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</si>
  <si>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</si>
  <si>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</si>
  <si>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</si>
  <si>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</si>
  <si>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</si>
  <si>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</si>
  <si>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</si>
  <si>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</si>
  <si>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</si>
  <si>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</si>
  <si>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</si>
  <si>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</si>
  <si>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</si>
  <si>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</si>
  <si>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</si>
  <si>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</si>
  <si>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</si>
  <si>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</si>
  <si>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</si>
  <si>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</si>
  <si>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</si>
  <si>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</si>
  <si>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</si>
  <si>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</si>
  <si>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</si>
  <si>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</si>
  <si>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</si>
  <si>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</si>
  <si>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</si>
  <si>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</si>
  <si>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</si>
  <si>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</si>
  <si>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</si>
  <si>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</si>
  <si>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</si>
  <si>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</si>
  <si>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</si>
  <si>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</si>
  <si>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</si>
  <si>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</si>
  <si>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</si>
  <si>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</si>
  <si>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</si>
  <si>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</si>
  <si>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</si>
  <si>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</si>
  <si>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</si>
  <si>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</si>
  <si>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</si>
  <si>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</si>
  <si>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</si>
  <si>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</si>
  <si>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</si>
  <si>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</si>
  <si>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</si>
  <si>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</si>
  <si>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</si>
  <si>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</si>
  <si>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</si>
  <si>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</si>
  <si>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</si>
  <si>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</si>
  <si>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</si>
  <si>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</si>
  <si>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</si>
  <si>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</si>
  <si>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</si>
  <si>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</si>
  <si>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</si>
  <si>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</si>
  <si>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</si>
  <si>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</si>
  <si>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</si>
  <si>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</si>
  <si>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</si>
  <si>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</si>
  <si>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</si>
  <si>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</si>
  <si>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</si>
  <si>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</si>
  <si>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</si>
  <si>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</si>
  <si>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</si>
  <si>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</si>
  <si>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</si>
  <si>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</si>
  <si>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</si>
  <si>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</si>
  <si>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</si>
  <si>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</si>
  <si>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</si>
  <si>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</si>
  <si>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</si>
  <si>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</si>
  <si>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</si>
  <si>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</si>
  <si>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</si>
  <si>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</si>
  <si>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</si>
  <si>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</si>
  <si>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</si>
  <si>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</si>
  <si>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</si>
  <si>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</si>
  <si>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</si>
  <si>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</si>
  <si>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</si>
  <si>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</si>
  <si>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</si>
  <si>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</si>
  <si>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</si>
  <si>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</si>
  <si>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</si>
  <si>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</si>
  <si>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</si>
  <si>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</si>
  <si>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</si>
  <si>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</si>
  <si>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</si>
  <si>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</si>
  <si>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</si>
  <si>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</si>
  <si>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</si>
  <si>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</si>
  <si>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</si>
  <si>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</si>
  <si>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</si>
  <si>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</si>
  <si>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</si>
  <si>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</si>
  <si>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</si>
  <si>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</si>
  <si>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</si>
  <si>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</si>
  <si>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</si>
  <si>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</si>
  <si>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</si>
  <si>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</si>
  <si>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</si>
  <si>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</si>
  <si>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</si>
  <si>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</si>
  <si>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</si>
  <si>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</si>
  <si>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</si>
  <si>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</si>
  <si>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</si>
  <si>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</si>
  <si>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</si>
  <si>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</si>
  <si>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</si>
  <si>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</si>
  <si>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</si>
  <si>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</si>
  <si>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</si>
  <si>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</si>
  <si>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</si>
  <si>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</si>
  <si>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</si>
  <si>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</si>
  <si>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</si>
  <si>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</si>
  <si>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</si>
  <si>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</si>
  <si>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</si>
  <si>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</si>
  <si>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</si>
  <si>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</si>
  <si>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</si>
  <si>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</si>
  <si>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</si>
  <si>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</si>
  <si>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</si>
  <si>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</si>
  <si>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</si>
  <si>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</si>
  <si>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</si>
  <si>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</si>
  <si>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</si>
  <si>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</si>
  <si>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</si>
  <si>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</si>
  <si>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</si>
  <si>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</si>
  <si>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</si>
  <si>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</si>
  <si>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</si>
  <si>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</si>
  <si>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</si>
  <si>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</si>
  <si>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</si>
  <si>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</si>
  <si>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</si>
  <si>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</si>
  <si>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</si>
  <si>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</si>
  <si>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</si>
  <si>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</si>
  <si>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</si>
  <si>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</si>
  <si>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</si>
  <si>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</si>
  <si>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</si>
  <si>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</si>
  <si>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</si>
  <si>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</si>
  <si>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</si>
  <si>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</si>
  <si>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</si>
  <si>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</si>
  <si>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</si>
  <si>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</si>
  <si>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</si>
  <si>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</si>
  <si>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</si>
  <si>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</si>
  <si>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</si>
  <si>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</si>
  <si>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</si>
  <si>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</si>
  <si>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</si>
  <si>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</si>
  <si>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</si>
  <si>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</si>
  <si>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</si>
  <si>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</si>
  <si>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</si>
  <si>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</si>
  <si>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</si>
  <si>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</si>
  <si>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</si>
  <si>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</si>
  <si>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</si>
  <si>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</si>
  <si>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</si>
  <si>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</si>
  <si>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</si>
  <si>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</si>
  <si>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</si>
  <si>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</si>
  <si>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</si>
  <si>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</si>
  <si>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</si>
  <si>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</si>
  <si>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</si>
  <si>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</si>
  <si>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</si>
  <si>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</si>
  <si>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</si>
  <si>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</si>
  <si>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</si>
  <si>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</si>
  <si>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</si>
  <si>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</si>
  <si>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</si>
  <si>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</si>
  <si>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</si>
  <si>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</si>
  <si>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</si>
  <si>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</si>
  <si>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</si>
  <si>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</si>
  <si>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</si>
  <si>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</si>
  <si>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</si>
  <si>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</si>
  <si>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</si>
  <si>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</si>
  <si>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</si>
  <si>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</si>
  <si>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</si>
  <si>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</si>
  <si>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</si>
  <si>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</si>
  <si>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</si>
  <si>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</si>
  <si>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</si>
  <si>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</si>
  <si>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</si>
  <si>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</si>
  <si>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</si>
  <si>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</si>
  <si>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</si>
  <si>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</si>
  <si>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</si>
  <si>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</si>
  <si>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</si>
  <si>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</si>
  <si>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</si>
  <si>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</si>
  <si>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</si>
  <si>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</si>
  <si>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</si>
  <si>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</si>
  <si>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</si>
  <si>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</si>
  <si>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</si>
  <si>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</si>
  <si>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</si>
  <si>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</si>
  <si>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C02/ton/mi</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</si>
  <si>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</si>
  <si>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</si>
  <si>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</si>
  <si>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</si>
  <si>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</si>
  <si>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</si>
  <si>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</si>
  <si>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</si>
  <si>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</si>
  <si>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</si>
  <si>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</si>
  <si>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</si>
  <si>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</si>
  <si>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</si>
  <si>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</si>
  <si>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</si>
  <si>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</si>
  <si>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</si>
  <si>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</si>
  <si>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</si>
  <si>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</si>
  <si>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</si>
  <si>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</si>
  <si>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</si>
  <si>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</si>
  <si>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</si>
  <si>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</si>
  <si>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</si>
  <si>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</si>
  <si>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</si>
  <si>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</si>
  <si>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</si>
  <si>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</si>
  <si>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</si>
  <si>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</si>
  <si>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</si>
  <si>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</si>
  <si>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</si>
  <si>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</si>
  <si>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</si>
  <si>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</si>
  <si>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</si>
  <si>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</si>
  <si>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</si>
  <si>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</si>
  <si>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</si>
  <si>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</si>
  <si>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</si>
  <si>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[Insert Definition Below]</t>
  </si>
  <si>
    <t>HG.1.1</t>
  </si>
  <si>
    <t>OC Calculation: Statutory</t>
  </si>
  <si>
    <t xml:space="preserve">The actual OC is the last overcollateralization ratio certified by the specific controller of BPCE SFH. It is the ratio between the adjusted total assets amount and the covered bond outstanding principal amount. </t>
  </si>
  <si>
    <t>HG.1.2</t>
  </si>
  <si>
    <t>OC Calculation: Contractual</t>
  </si>
  <si>
    <t>The minimum legal level of overcollateralization under French law is set at 105%. The ratio is calculated under a quarterly basis and sent to the French Regulator with the certification of the specific controller.</t>
  </si>
  <si>
    <t>HG.1.3</t>
  </si>
  <si>
    <t>OC Calculation: Voluntary</t>
  </si>
  <si>
    <t>Equals the minimum legal level of overcollateralization.</t>
  </si>
  <si>
    <t>HG.1.4</t>
  </si>
  <si>
    <t>Interest Rate Types</t>
  </si>
  <si>
    <t>Interest rates are fixed or floating or capped (other)</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</si>
  <si>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</si>
  <si>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</si>
  <si>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 xml:space="preserve">Contractual maturities are calculated assuming a zero prepayment scenario on the cover pool assets. 
Expected maturities are calculated with an historical prepayment rate observed since 2011 (creation of BPCE SFH) and updated at the beginning of each year (7,36% for year 2016). </t>
  </si>
  <si>
    <t>HG.1.6</t>
  </si>
  <si>
    <t xml:space="preserve">Maturity Buckets of Covered Bonds [i.e. how is the contractual and/or expected maturity defined? What maturity structure (hard bullet, soft bullet, conditional pass through)? Under what conditions/circumstances? Etc.] </t>
  </si>
  <si>
    <t xml:space="preserve">The covered bonds issued by BPCE SFH are Hard and Soft bullet profiles. 
The contractual and the expected maturity are calculated according to the  legal final maturity for hard bullet bonds without any prepayment assumption. 
The contractual maturity is calculated according to the  legal final maturity  without any prepayment assumption for soft bullet bonds. 
The expected maturity is calculated according to the initial legal final maturity with an extension of 1 year for soft bullet bonds. </t>
  </si>
  <si>
    <t>HG.1.7</t>
  </si>
  <si>
    <t>Maturity Extention Triggers</t>
  </si>
  <si>
    <t>[insert link to the national legislation where the maturity extention triggers are listed - insert link of relevant programme prospectus]</t>
  </si>
  <si>
    <t>HG.1.8</t>
  </si>
  <si>
    <t>LTVs: Definition</t>
  </si>
  <si>
    <t xml:space="preserve">The unindexed LTV is the ratio between the current outstanding of all the loans granted for a residential asset and the valuation of this property at the origination date. 
The indexed LTV is the ratio between the current outstanding of all the loans granted for a residential asset and the indexed current valuation of this property. </t>
  </si>
  <si>
    <t>HG.1.9</t>
  </si>
  <si>
    <t>LTVs: Calculation of property/shipping value</t>
  </si>
  <si>
    <t>The original property value is determined at the loan origination date. It is the purchase price mentioned in the property purchase agreement of the loan.</t>
  </si>
  <si>
    <t>HG.1.10</t>
  </si>
  <si>
    <t>LTVs: Applied property/shipping valuation techniques, including whether use of index, Automated Valuation Model (AVM) or on-site audits</t>
  </si>
  <si>
    <t xml:space="preserve">The indexed property value is calculated with a re-evaluation method using the index published by PARIS NOTAIRES SERVICES et PERVAL </t>
  </si>
  <si>
    <t>HG.1.11</t>
  </si>
  <si>
    <t>LTVs: Frequency and time of last valuation</t>
  </si>
  <si>
    <t xml:space="preserve">The LTVs of the cover pool are calculated on a monthly basis.
The index are updated twice a year. The re-evaluation method is certified annually by the specific controller and the report is published on BPCE SFH website. </t>
  </si>
  <si>
    <t>HG.1.12</t>
  </si>
  <si>
    <t>Explain how mortgage types are defined whether for residential housing, multi-family housing, commercial real estate, etc. Same for shipping where relecvant</t>
  </si>
  <si>
    <t>The cover pool includes residential home loans financing  (i) the Construction or the acquisition of a residential real estate property, or (ii) the acquisition of land for Construction of a residential real estate property, or (iii) the Construction or extension or renovation of a residential real estate property, or (iv) debt consolidation of loans including only the three categories as described in (i), (ii), (iii) above. All the real estate properties are located in France. 
The loans are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t>
  </si>
  <si>
    <t>HG.1.13</t>
  </si>
  <si>
    <t>Hedging Strategy (please explain how you address interest rate and currency risk)</t>
  </si>
  <si>
    <t>The Notes issued under the Programme may be Fixed Rate Notes, Floating Rate Notes, Index Linked Notes or Zero Coupon Notes. Each Series of Notes will be denominated in any Specified Currency and may be Dual Currency Notes (see "Terms and Conditions of the French law Notes").
The proceeds from the issuance of the Notes under the Programme will be used by the Issuer to fund Borrower Loans to be made available to the Borrowers under the Credit Facility. The terms and conditions regarding the calculation and the payment of principal and interest under a Borrower Loan shall mirror the equivalent terms and conditions of the Notes funding such Borrower Loan.
The Issuer is therefore not exposed to any risk of an interest rate mismatch arising between the payments received on the Borrower Loans and the payments to be made under the Notes. As a consequence, in the absence of any Hedging Trigger Event the Issuer will have no obligation to hedge any interest rate risk.
The determination of the interest rate of each Series of Notes, as specified in each applicable Final Terms, shall be made by the Issuer regardless of the interest rate conditions applicable, as the case may be, to such Collateral Security Assets.
Before a Hedging Trigger Event occurs, the Borrowers retain any interest rate risk linked to the mismatch between the Collateral Security Assets and the Borrower Loan. Thus until the occurrence of such Hedging Trigger Event, the Borrowers will hedge this interest rate risks according to their usual and current strategies and practices.
Furthermore, before a Hedging Trigger Event occurs, and in order to enhance investors’ protection and reduce interest rate risk and maturity mismatch upon collateral enforcement, BPCE shall comply with the hedging management guidelines (as described in “The Hedging Letter”). BPCE will ensure on each Asset Cover Test Date that:
     1. The amount of interest to be received under the Collateral Security Assets shall exceed the amount of interest to be paid under the Notes; and
     2. The difference between the weighted average life of the Collateral Security Assets and the weighted average life of the outstanding Notes shall not exceed 18 months.</t>
  </si>
  <si>
    <t>HG.1.14</t>
  </si>
  <si>
    <t>Non-performing loans</t>
  </si>
  <si>
    <t>Any non-performing loan is excluded from the cover pool.</t>
  </si>
  <si>
    <t>HG.1.15</t>
  </si>
  <si>
    <t>Valuation Method</t>
  </si>
  <si>
    <t>OHG.1.1</t>
  </si>
  <si>
    <t>NPV assumptions (when stated)</t>
  </si>
  <si>
    <t>OHG.1.2</t>
  </si>
  <si>
    <t>OHG.1.3</t>
  </si>
  <si>
    <t>OHG.1.4</t>
  </si>
  <si>
    <t>OHG.1.5</t>
  </si>
  <si>
    <t>OHG.1.6</t>
  </si>
  <si>
    <t>OHG.1.7</t>
  </si>
  <si>
    <t>2. Glossary - ESG items (optional)</t>
  </si>
  <si>
    <t>Definition</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</si>
  <si>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</si>
  <si>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</si>
  <si>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</si>
  <si>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</si>
  <si>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</si>
  <si>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</si>
  <si>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</si>
  <si>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</si>
  <si>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</si>
  <si>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</si>
  <si>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</si>
  <si>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</si>
  <si>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</si>
  <si>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</si>
  <si>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</si>
  <si>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</si>
  <si>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</si>
  <si>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</si>
  <si>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</si>
  <si>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</si>
  <si>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</si>
  <si>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</si>
  <si>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</si>
  <si>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</si>
  <si>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</si>
  <si>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</si>
  <si>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</si>
  <si>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</si>
  <si>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</si>
  <si>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</si>
  <si>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</si>
  <si>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</si>
  <si>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</si>
  <si>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</si>
  <si>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</si>
  <si>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</si>
  <si>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</si>
  <si>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</si>
  <si>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</si>
  <si>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</si>
  <si>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TYVAR</t>
  </si>
  <si>
    <t>VALVAR</t>
  </si>
  <si>
    <t>IRIntWAL</t>
  </si>
  <si>
    <t>Equity</t>
  </si>
  <si>
    <t>600,239</t>
  </si>
  <si>
    <t>Rating Fitch</t>
  </si>
  <si>
    <t>A+</t>
  </si>
  <si>
    <t>GrpTier1RatioDt</t>
  </si>
  <si>
    <t>2026-03-31</t>
  </si>
  <si>
    <t>CRIntWAL</t>
  </si>
  <si>
    <t>IntRateRisk</t>
  </si>
  <si>
    <t>BUCKETMMAX</t>
  </si>
  <si>
    <t>12</t>
  </si>
  <si>
    <t>TauxRAAnnuel</t>
  </si>
  <si>
    <t>0,0700465296</t>
  </si>
  <si>
    <t>CRIntNominal</t>
  </si>
  <si>
    <t>OutstandingAAA</t>
  </si>
  <si>
    <t>Stress1</t>
  </si>
  <si>
    <t>10</t>
  </si>
  <si>
    <t>BUCKETAMIN</t>
  </si>
  <si>
    <t>2</t>
  </si>
  <si>
    <t>CurrentRisk</t>
  </si>
  <si>
    <t>FR30051_HDR</t>
  </si>
  <si>
    <t>"urn:iso:std:iso:20022:tech:xsd:head.001.001.04"|CFFOFRPPXXX|ECMS|A2A-PROD-FR30051|TRGTXECMXXX|AX|colr.xxx.creditclaimsfile|BDFEFR2LXXX|BDFEFR2LXXX</t>
  </si>
  <si>
    <t>ECBother</t>
  </si>
  <si>
    <t>69,532716</t>
  </si>
  <si>
    <t>RW S&amp;P</t>
  </si>
  <si>
    <t>SubordDebts</t>
  </si>
  <si>
    <t>Outlook S&amp;P</t>
  </si>
  <si>
    <t>Stable</t>
  </si>
  <si>
    <t>RW Fitch</t>
  </si>
  <si>
    <t>Stress2</t>
  </si>
  <si>
    <t>20</t>
  </si>
  <si>
    <t>Stress4</t>
  </si>
  <si>
    <t>40</t>
  </si>
  <si>
    <t>BUCKETJMIN</t>
  </si>
  <si>
    <t>Stress3</t>
  </si>
  <si>
    <t>30</t>
  </si>
  <si>
    <t>WALAAA</t>
  </si>
  <si>
    <t>3,99521640000285</t>
  </si>
  <si>
    <t>BUCKETAMAX</t>
  </si>
  <si>
    <t>5</t>
  </si>
  <si>
    <t>IRExtWAL</t>
  </si>
  <si>
    <t>CRExtNominal</t>
  </si>
  <si>
    <t>GrpTier1Ratio</t>
  </si>
  <si>
    <t>0,164</t>
  </si>
  <si>
    <t>Outlook Fitch</t>
  </si>
  <si>
    <t>FR16188_HDR</t>
  </si>
  <si>
    <t>"urn:iso:std:iso:20022:tech:xsd:head.001.001.04"|BPCEFRPPXXX|ECMS|A2A-PROD-FR16188|TRGTXECMXXX|AX|colr.xxx.creditclaimsfile|BDFEFR2LXXX|BDFEFR2LXXX</t>
  </si>
  <si>
    <t>Rating S&amp;P</t>
  </si>
  <si>
    <t>BUCKETJMAX</t>
  </si>
  <si>
    <t>35</t>
  </si>
  <si>
    <t>TxFLISWAPTV</t>
  </si>
  <si>
    <t>0.0282</t>
  </si>
  <si>
    <t>IRExtNominal</t>
  </si>
  <si>
    <t>CRExtWAL</t>
  </si>
  <si>
    <t>RW Moodys</t>
  </si>
  <si>
    <t>COPRG</t>
  </si>
  <si>
    <t>SFH</t>
  </si>
  <si>
    <t>BUCKETMMIN</t>
  </si>
  <si>
    <t>DernPtfValTrim</t>
  </si>
  <si>
    <t>304</t>
  </si>
  <si>
    <t>PATH</t>
  </si>
  <si>
    <t>z:SFH</t>
  </si>
  <si>
    <t>ECBeligible</t>
  </si>
  <si>
    <t>IRIntNominal</t>
  </si>
  <si>
    <t>QP_GREEN</t>
  </si>
  <si>
    <t>0.10</t>
  </si>
  <si>
    <t>OthNonPriviLiab</t>
  </si>
  <si>
    <t>TX_DECL_DECHRGT</t>
  </si>
  <si>
    <t>-10</t>
  </si>
  <si>
    <t>Outlook Moodys</t>
  </si>
  <si>
    <t>Rating Moodys</t>
  </si>
  <si>
    <t>A1</t>
  </si>
  <si>
    <t>PERIM</t>
  </si>
  <si>
    <t>TAB</t>
  </si>
  <si>
    <t>Modal</t>
  </si>
  <si>
    <t>Outstanding Balance</t>
  </si>
  <si>
    <t>min</t>
  </si>
  <si>
    <t>max</t>
  </si>
  <si>
    <t>WA</t>
  </si>
  <si>
    <t>Mean</t>
  </si>
  <si>
    <t>Number of borrowers</t>
  </si>
  <si>
    <t>Number of files</t>
  </si>
  <si>
    <t>MOBILISE</t>
  </si>
  <si>
    <t>MTKRDC</t>
  </si>
  <si>
    <t>GREEN</t>
  </si>
  <si>
    <t>5 largest exposures</t>
  </si>
  <si>
    <t>Breakdown by Outstanding balance</t>
  </si>
  <si>
    <t>Breakdown by Outstanding balance_Unindexed LTV Range</t>
  </si>
  <si>
    <t>0-25000_LTV0_40</t>
  </si>
  <si>
    <t>0-25000_LTV40_50</t>
  </si>
  <si>
    <t>0-25000_LTV50_60</t>
  </si>
  <si>
    <t>0-25000_LTV60_70</t>
  </si>
  <si>
    <t>0-25000_LTV70_80</t>
  </si>
  <si>
    <t>0-25000_LTV80_85</t>
  </si>
  <si>
    <t>0-25000_LTV85_90</t>
  </si>
  <si>
    <t>0-25000_LTV90_95</t>
  </si>
  <si>
    <t>0-25000_LTV95_100</t>
  </si>
  <si>
    <t>100000-125000_LTV0_40</t>
  </si>
  <si>
    <t>100000-125000_LTV40_50</t>
  </si>
  <si>
    <t>100000-125000_LTV50_60</t>
  </si>
  <si>
    <t>100000-125000_LTV60_70</t>
  </si>
  <si>
    <t>100000-125000_LTV70_80</t>
  </si>
  <si>
    <t>100000-125000_LTV80_85</t>
  </si>
  <si>
    <t>100000-125000_LTV85_90</t>
  </si>
  <si>
    <t>100000-125000_LTV90_95</t>
  </si>
  <si>
    <t>100000-125000_LTV95_100</t>
  </si>
  <si>
    <t>125000-150000_LTV0_40</t>
  </si>
  <si>
    <t>125000-150000_LTV40_50</t>
  </si>
  <si>
    <t>125000-150000_LTV50_60</t>
  </si>
  <si>
    <t>125000-150000_LTV60_70</t>
  </si>
  <si>
    <t>125000-150000_LTV70_80</t>
  </si>
  <si>
    <t>125000-150000_LTV80_85</t>
  </si>
  <si>
    <t>125000-150000_LTV85_90</t>
  </si>
  <si>
    <t>125000-150000_LTV90_95</t>
  </si>
  <si>
    <t>125000-150000_LTV95_100</t>
  </si>
  <si>
    <t>150000-175000_LTV0_40</t>
  </si>
  <si>
    <t>150000-175000_LTV40_50</t>
  </si>
  <si>
    <t>150000-175000_LTV50_60</t>
  </si>
  <si>
    <t>150000-175000_LTV60_70</t>
  </si>
  <si>
    <t>150000-175000_LTV70_80</t>
  </si>
  <si>
    <t>150000-175000_LTV80_85</t>
  </si>
  <si>
    <t>150000-175000_LTV85_90</t>
  </si>
  <si>
    <t>150000-175000_LTV90_95</t>
  </si>
  <si>
    <t>150000-175000_LTV95_100</t>
  </si>
  <si>
    <t>175000-200000_LTV0_40</t>
  </si>
  <si>
    <t>175000-200000_LTV40_50</t>
  </si>
  <si>
    <t>175000-200000_LTV50_60</t>
  </si>
  <si>
    <t>175000-200000_LTV60_70</t>
  </si>
  <si>
    <t>175000-200000_LTV70_80</t>
  </si>
  <si>
    <t>175000-200000_LTV80_85</t>
  </si>
  <si>
    <t>175000-200000_LTV85_90</t>
  </si>
  <si>
    <t>175000-200000_LTV90_95</t>
  </si>
  <si>
    <t>175000-200000_LTV95_100</t>
  </si>
  <si>
    <t>200000-250000_LTV0_40</t>
  </si>
  <si>
    <t>200000-250000_LTV40_50</t>
  </si>
  <si>
    <t>200000-250000_LTV50_60</t>
  </si>
  <si>
    <t>200000-250000_LTV60_70</t>
  </si>
  <si>
    <t>200000-250000_LTV70_80</t>
  </si>
  <si>
    <t>200000-250000_LTV80_85</t>
  </si>
  <si>
    <t>200000-250000_LTV85_90</t>
  </si>
  <si>
    <t>200000-250000_LTV90_95</t>
  </si>
  <si>
    <t>200000-250000_LTV95_100</t>
  </si>
  <si>
    <t>25000-50000_LTV0_40</t>
  </si>
  <si>
    <t>25000-50000_LTV40_50</t>
  </si>
  <si>
    <t>25000-50000_LTV50_60</t>
  </si>
  <si>
    <t>25000-50000_LTV60_70</t>
  </si>
  <si>
    <t>25000-50000_LTV70_80</t>
  </si>
  <si>
    <t>25000-50000_LTV80_85</t>
  </si>
  <si>
    <t>25000-50000_LTV85_90</t>
  </si>
  <si>
    <t>25000-50000_LTV90_95</t>
  </si>
  <si>
    <t>25000-50000_LTV95_100</t>
  </si>
  <si>
    <t>250000-500000_LTV0_40</t>
  </si>
  <si>
    <t>250000-500000_LTV40_50</t>
  </si>
  <si>
    <t>250000-500000_LTV50_60</t>
  </si>
  <si>
    <t>250000-500000_LTV60_70</t>
  </si>
  <si>
    <t>250000-500000_LTV70_80</t>
  </si>
  <si>
    <t>250000-500000_LTV80_85</t>
  </si>
  <si>
    <t>250000-500000_LTV85_90</t>
  </si>
  <si>
    <t>250000-500000_LTV90_95</t>
  </si>
  <si>
    <t>250000-500000_LTV95_100</t>
  </si>
  <si>
    <t>50000-75000_LTV0_40</t>
  </si>
  <si>
    <t>50000-75000_LTV40_50</t>
  </si>
  <si>
    <t>50000-75000_LTV50_60</t>
  </si>
  <si>
    <t>50000-75000_LTV60_70</t>
  </si>
  <si>
    <t>50000-75000_LTV70_80</t>
  </si>
  <si>
    <t>50000-75000_LTV80_85</t>
  </si>
  <si>
    <t>50000-75000_LTV85_90</t>
  </si>
  <si>
    <t>50000-75000_LTV90_95</t>
  </si>
  <si>
    <t>50000-75000_LTV95_100</t>
  </si>
  <si>
    <t>500000-1000000_LTV0_40</t>
  </si>
  <si>
    <t>500000-1000000_LTV80_85</t>
  </si>
  <si>
    <t>500000-1000000_LTV85_90</t>
  </si>
  <si>
    <t>500000-1000000_LTV90_95</t>
  </si>
  <si>
    <t>500000-1000000_LTV95_100</t>
  </si>
  <si>
    <t>75000-100000_LTV0_40</t>
  </si>
  <si>
    <t>75000-100000_LTV40_50</t>
  </si>
  <si>
    <t>75000-100000_LTV50_60</t>
  </si>
  <si>
    <t>75000-100000_LTV60_70</t>
  </si>
  <si>
    <t>75000-100000_LTV70_80</t>
  </si>
  <si>
    <t>75000-100000_LTV80_85</t>
  </si>
  <si>
    <t>75000-100000_LTV85_90</t>
  </si>
  <si>
    <t>75000-100000_LTV90_95</t>
  </si>
  <si>
    <t>75000-100000_LTV95_100</t>
  </si>
  <si>
    <t>Breakdown by Remaining Term_Unindexed LTV Range</t>
  </si>
  <si>
    <t>10-15_LTV0_40</t>
  </si>
  <si>
    <t>10-15_LTV40_50</t>
  </si>
  <si>
    <t>10-15_LTV50_60</t>
  </si>
  <si>
    <t>10-15_LTV60_70</t>
  </si>
  <si>
    <t>10-15_LTV70_80</t>
  </si>
  <si>
    <t>10-15_LTV80_85</t>
  </si>
  <si>
    <t>10-15_LTV85_90</t>
  </si>
  <si>
    <t>10-15_LTV90_95</t>
  </si>
  <si>
    <t>10-15_LTV95_100</t>
  </si>
  <si>
    <t>15-20_LTV0_40</t>
  </si>
  <si>
    <t>15-20_LTV40_50</t>
  </si>
  <si>
    <t>15-20_LTV50_60</t>
  </si>
  <si>
    <t>15-20_LTV60_70</t>
  </si>
  <si>
    <t>15-20_LTV70_80</t>
  </si>
  <si>
    <t>15-20_LTV80_85</t>
  </si>
  <si>
    <t>15-20_LTV85_90</t>
  </si>
  <si>
    <t>15-20_LTV90_95</t>
  </si>
  <si>
    <t>15-20_LTV95_100</t>
  </si>
  <si>
    <t>20-30_LTV0_40</t>
  </si>
  <si>
    <t>20-30_LTV40_50</t>
  </si>
  <si>
    <t>20-30_LTV50_60</t>
  </si>
  <si>
    <t>20-30_LTV60_70</t>
  </si>
  <si>
    <t>20-30_LTV70_80</t>
  </si>
  <si>
    <t>20-30_LTV80_85</t>
  </si>
  <si>
    <t>20-30_LTV85_90</t>
  </si>
  <si>
    <t>20-30_LTV90_95</t>
  </si>
  <si>
    <t>20-30_LTV95_100</t>
  </si>
  <si>
    <t>5-10_LTV0_40</t>
  </si>
  <si>
    <t>5-10_LTV40_50</t>
  </si>
  <si>
    <t>5-10_LTV50_60</t>
  </si>
  <si>
    <t>5-10_LTV60_70</t>
  </si>
  <si>
    <t>5-10_LTV70_80</t>
  </si>
  <si>
    <t>5-10_LTV80_85</t>
  </si>
  <si>
    <t>5-10_LTV85_90</t>
  </si>
  <si>
    <t>5-10_LTV90_95</t>
  </si>
  <si>
    <t>5-10_LTV95_100</t>
  </si>
  <si>
    <t>&lt;=5 years_LTV0_40</t>
  </si>
  <si>
    <t>&lt;=5 years_LTV40_50</t>
  </si>
  <si>
    <t>&lt;=5 years_LTV50_60</t>
  </si>
  <si>
    <t>&lt;=5 years_LTV60_70</t>
  </si>
  <si>
    <t>&lt;=5 years_LTV70_80</t>
  </si>
  <si>
    <t>&lt;=5 years_LTV80_85</t>
  </si>
  <si>
    <t>&lt;=5 years_LTV85_90</t>
  </si>
  <si>
    <t>&lt;=5 years_LTV90_95</t>
  </si>
  <si>
    <t>&lt;=5 years_LTV95_100</t>
  </si>
  <si>
    <t>Breakdown by year of Origination_Unindexed LTV Range</t>
  </si>
  <si>
    <t>._LTV60_70</t>
  </si>
  <si>
    <t>2014 - 2016_LTV0_40</t>
  </si>
  <si>
    <t>2014 - 2016_LTV40_50</t>
  </si>
  <si>
    <t>2014 - 2016_LTV50_60</t>
  </si>
  <si>
    <t>2014 - 2016_LTV60_70</t>
  </si>
  <si>
    <t>2014 - 2016_LTV70_80</t>
  </si>
  <si>
    <t>2014 - 2016_LTV80_85</t>
  </si>
  <si>
    <t>2014 - 2016_LTV85_90</t>
  </si>
  <si>
    <t>2014 - 2016_LTV90_95</t>
  </si>
  <si>
    <t>2014 - 2016_LTV95_100</t>
  </si>
  <si>
    <t>2017 - 2019_LTV0_40</t>
  </si>
  <si>
    <t>2017 - 2019_LTV40_50</t>
  </si>
  <si>
    <t>2017 - 2019_LTV50_60</t>
  </si>
  <si>
    <t>2017 - 2019_LTV60_70</t>
  </si>
  <si>
    <t>2017 - 2019_LTV70_80</t>
  </si>
  <si>
    <t>2017 - 2019_LTV80_85</t>
  </si>
  <si>
    <t>2017 - 2019_LTV85_90</t>
  </si>
  <si>
    <t>2017 - 2019_LTV90_95</t>
  </si>
  <si>
    <t>2017 - 2019_LTV95_100</t>
  </si>
  <si>
    <t>2020 - 2022_LTV0_40</t>
  </si>
  <si>
    <t>2020 - 2022_LTV40_50</t>
  </si>
  <si>
    <t>2020 - 2022_LTV50_60</t>
  </si>
  <si>
    <t>2020 - 2022_LTV60_70</t>
  </si>
  <si>
    <t>2020 - 2022_LTV70_80</t>
  </si>
  <si>
    <t>2020 - 2022_LTV80_85</t>
  </si>
  <si>
    <t>2020 - 2022_LTV85_90</t>
  </si>
  <si>
    <t>2020 - 2022_LTV90_95</t>
  </si>
  <si>
    <t>2020 - 2022_LTV95_100</t>
  </si>
  <si>
    <t>2023 - 2026_LTV0_40</t>
  </si>
  <si>
    <t>2023 - 2026_LTV40_50</t>
  </si>
  <si>
    <t>2023 - 2026_LTV50_60</t>
  </si>
  <si>
    <t>2023 - 2026_LTV60_70</t>
  </si>
  <si>
    <t>2023 - 2026_LTV70_80</t>
  </si>
  <si>
    <t>2023 - 2026_LTV80_85</t>
  </si>
  <si>
    <t>2023 - 2026_LTV85_90</t>
  </si>
  <si>
    <t>2023 - 2026_LTV90_95</t>
  </si>
  <si>
    <t>2023 - 2026_LTV95_100</t>
  </si>
  <si>
    <t>Prior to 2014_LTV0_40</t>
  </si>
  <si>
    <t>Prior to 2014_LTV40_50</t>
  </si>
  <si>
    <t>Prior to 2014_LTV50_60</t>
  </si>
  <si>
    <t>Prior to 2014_LTV60_70</t>
  </si>
  <si>
    <t>Prior to 2014_LTV70_80</t>
  </si>
  <si>
    <t>Prior to 2014_LTV80_85</t>
  </si>
  <si>
    <t>Prior to 2014_LTV85_90</t>
  </si>
  <si>
    <t>Prior to 2014_LTV90_95</t>
  </si>
  <si>
    <t>Prior to 2014_LTV95_100</t>
  </si>
  <si>
    <t>Current Arrears Ranges Distribution</t>
  </si>
  <si>
    <t>ZERO</t>
  </si>
  <si>
    <t>EMISSIONS</t>
  </si>
  <si>
    <t>Emissions</t>
  </si>
  <si>
    <t>MCOUV</t>
  </si>
  <si>
    <t>Emissions_duree</t>
  </si>
  <si>
    <t>FIX</t>
  </si>
  <si>
    <t>VAR</t>
  </si>
  <si>
    <t>Emissions_maturity</t>
  </si>
  <si>
    <t>0_1</t>
  </si>
  <si>
    <t>1_2</t>
  </si>
  <si>
    <t>2_3</t>
  </si>
  <si>
    <t>3_4</t>
  </si>
  <si>
    <t>4_5</t>
  </si>
  <si>
    <t>5_10</t>
  </si>
  <si>
    <t>SUP_10</t>
  </si>
  <si>
    <t>Emissions_spread</t>
  </si>
  <si>
    <t>Emissions_taux</t>
  </si>
  <si>
    <t>Emissions_var</t>
  </si>
  <si>
    <t>FIX_</t>
  </si>
  <si>
    <t>FIX_Mid swap Euribor 6M</t>
  </si>
  <si>
    <t>VAR_</t>
  </si>
  <si>
    <t>VAR_Euribor 3M</t>
  </si>
  <si>
    <t>Employment Type</t>
  </si>
  <si>
    <t>AUTRE</t>
  </si>
  <si>
    <t>FONCT</t>
  </si>
  <si>
    <t>LIB</t>
  </si>
  <si>
    <t>RESTE</t>
  </si>
  <si>
    <t>SAL</t>
  </si>
  <si>
    <t>Employment Type Moodys_Unindexed LTV Range</t>
  </si>
  <si>
    <t>AUTRE_LTV0_40</t>
  </si>
  <si>
    <t>AUTRE_LTV40_50</t>
  </si>
  <si>
    <t>AUTRE_LTV50_60</t>
  </si>
  <si>
    <t>AUTRE_LTV60_70</t>
  </si>
  <si>
    <t>AUTRE_LTV70_80</t>
  </si>
  <si>
    <t>AUTRE_LTV80_85</t>
  </si>
  <si>
    <t>AUTRE_LTV85_90</t>
  </si>
  <si>
    <t>AUTRE_LTV90_95</t>
  </si>
  <si>
    <t>AUTRE_LTV95_100</t>
  </si>
  <si>
    <t>FONCT_LTV0_40</t>
  </si>
  <si>
    <t>FONCT_LTV40_50</t>
  </si>
  <si>
    <t>FONCT_LTV50_60</t>
  </si>
  <si>
    <t>FONCT_LTV60_70</t>
  </si>
  <si>
    <t>FONCT_LTV70_80</t>
  </si>
  <si>
    <t>FONCT_LTV80_85</t>
  </si>
  <si>
    <t>FONCT_LTV85_90</t>
  </si>
  <si>
    <t>FONCT_LTV90_95</t>
  </si>
  <si>
    <t>FONCT_LTV95_100</t>
  </si>
  <si>
    <t>LIB_LTV0_40</t>
  </si>
  <si>
    <t>LIB_LTV40_50</t>
  </si>
  <si>
    <t>LIB_LTV50_60</t>
  </si>
  <si>
    <t>LIB_LTV60_70</t>
  </si>
  <si>
    <t>LIB_LTV70_80</t>
  </si>
  <si>
    <t>LIB_LTV80_85</t>
  </si>
  <si>
    <t>LIB_LTV85_90</t>
  </si>
  <si>
    <t>LIB_LTV90_95</t>
  </si>
  <si>
    <t>LIB_LTV95_100</t>
  </si>
  <si>
    <t>RESTE_LTV0_40</t>
  </si>
  <si>
    <t>RESTE_LTV40_50</t>
  </si>
  <si>
    <t>RESTE_LTV50_60</t>
  </si>
  <si>
    <t>RESTE_LTV60_70</t>
  </si>
  <si>
    <t>RESTE_LTV70_80</t>
  </si>
  <si>
    <t>RESTE_LTV80_85</t>
  </si>
  <si>
    <t>RESTE_LTV85_90</t>
  </si>
  <si>
    <t>RESTE_LTV90_95</t>
  </si>
  <si>
    <t>RESTE_LTV95_100</t>
  </si>
  <si>
    <t>SAL_LTV0_40</t>
  </si>
  <si>
    <t>SAL_LTV40_50</t>
  </si>
  <si>
    <t>SAL_LTV50_60</t>
  </si>
  <si>
    <t>SAL_LTV60_70</t>
  </si>
  <si>
    <t>SAL_LTV70_80</t>
  </si>
  <si>
    <t>SAL_LTV80_85</t>
  </si>
  <si>
    <t>SAL_LTV85_90</t>
  </si>
  <si>
    <t>SAL_LTV90_95</t>
  </si>
  <si>
    <t>SAL_LTV95_100</t>
  </si>
  <si>
    <t>Employment Type_Unindexed LTV Range</t>
  </si>
  <si>
    <t>RETR_LTV0_40</t>
  </si>
  <si>
    <t>RETR_LTV40_50</t>
  </si>
  <si>
    <t>RETR_LTV50_60</t>
  </si>
  <si>
    <t>RETR_LTV60_70</t>
  </si>
  <si>
    <t>RETR_LTV70_80</t>
  </si>
  <si>
    <t>RETR_LTV80_85</t>
  </si>
  <si>
    <t>RETR_LTV85_90</t>
  </si>
  <si>
    <t>RETR_LTV90_95</t>
  </si>
  <si>
    <t>RETR_LTV95_100</t>
  </si>
  <si>
    <t>Garantie_DARAL2</t>
  </si>
  <si>
    <t>CEGC_2007</t>
  </si>
  <si>
    <t>CEGC_2008</t>
  </si>
  <si>
    <t>CEGC_2009</t>
  </si>
  <si>
    <t>CEGC_2010</t>
  </si>
  <si>
    <t>CEGC_2011</t>
  </si>
  <si>
    <t>CEGC_2012</t>
  </si>
  <si>
    <t>CEGC_2013</t>
  </si>
  <si>
    <t>CEGC_2014</t>
  </si>
  <si>
    <t>CEGC_2015</t>
  </si>
  <si>
    <t>CEGC_2016</t>
  </si>
  <si>
    <t>CEGC_2017</t>
  </si>
  <si>
    <t>CEGC_2018</t>
  </si>
  <si>
    <t>CEGC_2019</t>
  </si>
  <si>
    <t>CEGC_2020</t>
  </si>
  <si>
    <t>CEGC_2021</t>
  </si>
  <si>
    <t>CEGC_2022</t>
  </si>
  <si>
    <t>CEGC_2023</t>
  </si>
  <si>
    <t>CEGC_2024</t>
  </si>
  <si>
    <t>CEGC_2025</t>
  </si>
  <si>
    <t>CEGC_2026</t>
  </si>
  <si>
    <t>CL_2007</t>
  </si>
  <si>
    <t>CL_2008</t>
  </si>
  <si>
    <t>CL_2009</t>
  </si>
  <si>
    <t>CL_2010</t>
  </si>
  <si>
    <t>CL_2011</t>
  </si>
  <si>
    <t>CL_2012</t>
  </si>
  <si>
    <t>CL_2013</t>
  </si>
  <si>
    <t>CL_2014</t>
  </si>
  <si>
    <t>CL_2015</t>
  </si>
  <si>
    <t>CL_2016</t>
  </si>
  <si>
    <t>CL_2017</t>
  </si>
  <si>
    <t>CL_2018</t>
  </si>
  <si>
    <t>CL_2019</t>
  </si>
  <si>
    <t>CL_2020</t>
  </si>
  <si>
    <t>CL_2021</t>
  </si>
  <si>
    <t>CL_2022</t>
  </si>
  <si>
    <t>CL_2023</t>
  </si>
  <si>
    <t>CL_2024</t>
  </si>
  <si>
    <t>CL_2025</t>
  </si>
  <si>
    <t>CL_2026</t>
  </si>
  <si>
    <t>FGAS_2007</t>
  </si>
  <si>
    <t>FGAS_2008</t>
  </si>
  <si>
    <t>FGAS_2009</t>
  </si>
  <si>
    <t>FGAS_2010</t>
  </si>
  <si>
    <t>FGAS_2011</t>
  </si>
  <si>
    <t>FGAS_2012</t>
  </si>
  <si>
    <t>FGAS_2013</t>
  </si>
  <si>
    <t>FGAS_2014</t>
  </si>
  <si>
    <t>FGAS_2015</t>
  </si>
  <si>
    <t>FGAS_2016</t>
  </si>
  <si>
    <t>FGAS_2017</t>
  </si>
  <si>
    <t>FGAS_2018</t>
  </si>
  <si>
    <t>FGAS_2019</t>
  </si>
  <si>
    <t>FGAS_2020</t>
  </si>
  <si>
    <t>FGAS_2021</t>
  </si>
  <si>
    <t>FGAS_2022</t>
  </si>
  <si>
    <t>FGAS_2023</t>
  </si>
  <si>
    <t>FGAS_2024</t>
  </si>
  <si>
    <t>FGAS_2025</t>
  </si>
  <si>
    <t>FGAS_2026</t>
  </si>
  <si>
    <t>HYPO_2007</t>
  </si>
  <si>
    <t>HYPO_2008</t>
  </si>
  <si>
    <t>HYPO_2009</t>
  </si>
  <si>
    <t>HYPO_2010</t>
  </si>
  <si>
    <t>HYPO_2011</t>
  </si>
  <si>
    <t>HYPO_2012</t>
  </si>
  <si>
    <t>HYPO_2013</t>
  </si>
  <si>
    <t>HYPO_2014</t>
  </si>
  <si>
    <t>HYPO_2015</t>
  </si>
  <si>
    <t>HYPO_2016</t>
  </si>
  <si>
    <t>HYPO_2017</t>
  </si>
  <si>
    <t>HYPO_2018</t>
  </si>
  <si>
    <t>HYPO_2019</t>
  </si>
  <si>
    <t>HYPO_2020</t>
  </si>
  <si>
    <t>HYPO_2021</t>
  </si>
  <si>
    <t>HYPO_2022</t>
  </si>
  <si>
    <t>HYPO_2023</t>
  </si>
  <si>
    <t>HYPO_2024</t>
  </si>
  <si>
    <t>HYPO_2025</t>
  </si>
  <si>
    <t>HYPO_2026</t>
  </si>
  <si>
    <t>PARNASSE_2007</t>
  </si>
  <si>
    <t>PARNASSE_2008</t>
  </si>
  <si>
    <t>PARNASSE_2009</t>
  </si>
  <si>
    <t>PARNASSE_2010</t>
  </si>
  <si>
    <t>PARNASSE_2011</t>
  </si>
  <si>
    <t>PARNASSE_2012</t>
  </si>
  <si>
    <t>PARNASSE_2013</t>
  </si>
  <si>
    <t>PARNASSE_2014</t>
  </si>
  <si>
    <t>PARNASSE_2015</t>
  </si>
  <si>
    <t>PARNASSE_2016</t>
  </si>
  <si>
    <t>PARNASSE_2017</t>
  </si>
  <si>
    <t>PARNASSE_2018</t>
  </si>
  <si>
    <t>PARNASSE_2019</t>
  </si>
  <si>
    <t>PARNASSE_2020</t>
  </si>
  <si>
    <t>PARNASSE_2021</t>
  </si>
  <si>
    <t>PARNASSE_2022</t>
  </si>
  <si>
    <t>PARNASSE_2023</t>
  </si>
  <si>
    <t>PARNASSE_2024</t>
  </si>
  <si>
    <t>PARNASSE_2025</t>
  </si>
  <si>
    <t>PARNASSE_2026</t>
  </si>
  <si>
    <t>Garantie_DRACOU</t>
  </si>
  <si>
    <t>CEGC_1</t>
  </si>
  <si>
    <t>CEGC_10</t>
  </si>
  <si>
    <t>CEGC_11</t>
  </si>
  <si>
    <t>CEGC_12</t>
  </si>
  <si>
    <t>CEGC_13</t>
  </si>
  <si>
    <t>CEGC_14</t>
  </si>
  <si>
    <t>CEGC_15</t>
  </si>
  <si>
    <t>CEGC_16</t>
  </si>
  <si>
    <t>CEGC_17</t>
  </si>
  <si>
    <t>CEGC_18</t>
  </si>
  <si>
    <t>CEGC_19</t>
  </si>
  <si>
    <t>CEGC_2</t>
  </si>
  <si>
    <t>CEGC_20</t>
  </si>
  <si>
    <t>CEGC_21</t>
  </si>
  <si>
    <t>CEGC_22</t>
  </si>
  <si>
    <t>CEGC_23</t>
  </si>
  <si>
    <t>CEGC_24</t>
  </si>
  <si>
    <t>CEGC_25</t>
  </si>
  <si>
    <t>CEGC_26</t>
  </si>
  <si>
    <t>CEGC_27</t>
  </si>
  <si>
    <t>CEGC_28</t>
  </si>
  <si>
    <t>CEGC_29</t>
  </si>
  <si>
    <t>CEGC_3</t>
  </si>
  <si>
    <t>CEGC_30</t>
  </si>
  <si>
    <t>CEGC_4</t>
  </si>
  <si>
    <t>CEGC_5</t>
  </si>
  <si>
    <t>CEGC_6</t>
  </si>
  <si>
    <t>CEGC_7</t>
  </si>
  <si>
    <t>CEGC_8</t>
  </si>
  <si>
    <t>CEGC_9</t>
  </si>
  <si>
    <t>CL_1</t>
  </si>
  <si>
    <t>CL_10</t>
  </si>
  <si>
    <t>CL_11</t>
  </si>
  <si>
    <t>CL_12</t>
  </si>
  <si>
    <t>CL_13</t>
  </si>
  <si>
    <t>CL_14</t>
  </si>
  <si>
    <t>CL_15</t>
  </si>
  <si>
    <t>CL_16</t>
  </si>
  <si>
    <t>CL_17</t>
  </si>
  <si>
    <t>CL_18</t>
  </si>
  <si>
    <t>CL_19</t>
  </si>
  <si>
    <t>CL_2</t>
  </si>
  <si>
    <t>CL_20</t>
  </si>
  <si>
    <t>CL_21</t>
  </si>
  <si>
    <t>CL_22</t>
  </si>
  <si>
    <t>CL_23</t>
  </si>
  <si>
    <t>CL_24</t>
  </si>
  <si>
    <t>CL_25</t>
  </si>
  <si>
    <t>CL_3</t>
  </si>
  <si>
    <t>CL_4</t>
  </si>
  <si>
    <t>CL_5</t>
  </si>
  <si>
    <t>CL_6</t>
  </si>
  <si>
    <t>CL_7</t>
  </si>
  <si>
    <t>CL_8</t>
  </si>
  <si>
    <t>CL_9</t>
  </si>
  <si>
    <t>FGAS_1</t>
  </si>
  <si>
    <t>FGAS_10</t>
  </si>
  <si>
    <t>FGAS_11</t>
  </si>
  <si>
    <t>FGAS_12</t>
  </si>
  <si>
    <t>FGAS_13</t>
  </si>
  <si>
    <t>FGAS_14</t>
  </si>
  <si>
    <t>FGAS_15</t>
  </si>
  <si>
    <t>FGAS_16</t>
  </si>
  <si>
    <t>FGAS_17</t>
  </si>
  <si>
    <t>FGAS_18</t>
  </si>
  <si>
    <t>FGAS_19</t>
  </si>
  <si>
    <t>FGAS_2</t>
  </si>
  <si>
    <t>FGAS_20</t>
  </si>
  <si>
    <t>FGAS_21</t>
  </si>
  <si>
    <t>FGAS_22</t>
  </si>
  <si>
    <t>FGAS_23</t>
  </si>
  <si>
    <t>FGAS_24</t>
  </si>
  <si>
    <t>FGAS_25</t>
  </si>
  <si>
    <t>FGAS_26</t>
  </si>
  <si>
    <t>FGAS_27</t>
  </si>
  <si>
    <t>FGAS_28</t>
  </si>
  <si>
    <t>FGAS_29</t>
  </si>
  <si>
    <t>FGAS_3</t>
  </si>
  <si>
    <t>FGAS_4</t>
  </si>
  <si>
    <t>FGAS_5</t>
  </si>
  <si>
    <t>FGAS_6</t>
  </si>
  <si>
    <t>FGAS_7</t>
  </si>
  <si>
    <t>FGAS_8</t>
  </si>
  <si>
    <t>FGAS_9</t>
  </si>
  <si>
    <t>HYPO_1</t>
  </si>
  <si>
    <t>HYPO_10</t>
  </si>
  <si>
    <t>HYPO_11</t>
  </si>
  <si>
    <t>HYPO_12</t>
  </si>
  <si>
    <t>HYPO_13</t>
  </si>
  <si>
    <t>HYPO_14</t>
  </si>
  <si>
    <t>HYPO_15</t>
  </si>
  <si>
    <t>HYPO_16</t>
  </si>
  <si>
    <t>HYPO_17</t>
  </si>
  <si>
    <t>HYPO_18</t>
  </si>
  <si>
    <t>HYPO_19</t>
  </si>
  <si>
    <t>HYPO_2</t>
  </si>
  <si>
    <t>HYPO_20</t>
  </si>
  <si>
    <t>HYPO_21</t>
  </si>
  <si>
    <t>HYPO_22</t>
  </si>
  <si>
    <t>HYPO_23</t>
  </si>
  <si>
    <t>HYPO_24</t>
  </si>
  <si>
    <t>HYPO_25</t>
  </si>
  <si>
    <t>HYPO_26</t>
  </si>
  <si>
    <t>HYPO_27</t>
  </si>
  <si>
    <t>HYPO_28</t>
  </si>
  <si>
    <t>HYPO_29</t>
  </si>
  <si>
    <t>HYPO_3</t>
  </si>
  <si>
    <t>HYPO_30</t>
  </si>
  <si>
    <t>HYPO_4</t>
  </si>
  <si>
    <t>HYPO_5</t>
  </si>
  <si>
    <t>HYPO_6</t>
  </si>
  <si>
    <t>HYPO_7</t>
  </si>
  <si>
    <t>HYPO_8</t>
  </si>
  <si>
    <t>HYPO_9</t>
  </si>
  <si>
    <t>PARNASSE_1</t>
  </si>
  <si>
    <t>PARNASSE_10</t>
  </si>
  <si>
    <t>PARNASSE_11</t>
  </si>
  <si>
    <t>PARNASSE_12</t>
  </si>
  <si>
    <t>PARNASSE_13</t>
  </si>
  <si>
    <t>PARNASSE_14</t>
  </si>
  <si>
    <t>PARNASSE_15</t>
  </si>
  <si>
    <t>PARNASSE_16</t>
  </si>
  <si>
    <t>PARNASSE_17</t>
  </si>
  <si>
    <t>PARNASSE_18</t>
  </si>
  <si>
    <t>PARNASSE_19</t>
  </si>
  <si>
    <t>PARNASSE_2</t>
  </si>
  <si>
    <t>PARNASSE_20</t>
  </si>
  <si>
    <t>PARNASSE_21</t>
  </si>
  <si>
    <t>PARNASSE_22</t>
  </si>
  <si>
    <t>PARNASSE_23</t>
  </si>
  <si>
    <t>PARNASSE_24</t>
  </si>
  <si>
    <t>PARNASSE_25</t>
  </si>
  <si>
    <t>PARNASSE_26</t>
  </si>
  <si>
    <t>PARNASSE_27</t>
  </si>
  <si>
    <t>PARNASSE_3</t>
  </si>
  <si>
    <t>PARNASSE_4</t>
  </si>
  <si>
    <t>PARNASSE_5</t>
  </si>
  <si>
    <t>PARNASSE_6</t>
  </si>
  <si>
    <t>PARNASSE_7</t>
  </si>
  <si>
    <t>PARNASSE_8</t>
  </si>
  <si>
    <t>PARNASSE_9</t>
  </si>
  <si>
    <t>Garantie_Type_Encours</t>
  </si>
  <si>
    <t>CEGC_Capital</t>
  </si>
  <si>
    <t>CEGC_Valeur Bien</t>
  </si>
  <si>
    <t>CL_Capital</t>
  </si>
  <si>
    <t>CL_Valeur Bien</t>
  </si>
  <si>
    <t>FGAS_Capital</t>
  </si>
  <si>
    <t>FGAS_Valeur Bien</t>
  </si>
  <si>
    <t>HYPO_Capital</t>
  </si>
  <si>
    <t>HYPO_Valeur Bien</t>
  </si>
  <si>
    <t>PARNASSE_Capital</t>
  </si>
  <si>
    <t>PARNASSE_Valeur Bien</t>
  </si>
  <si>
    <t>Garantie_Type_Perte gar etat</t>
  </si>
  <si>
    <t>Garantie_Type_QER</t>
  </si>
  <si>
    <t>Garantie_Type_Valeur_indicee</t>
  </si>
  <si>
    <t>Geographic Distribution</t>
  </si>
  <si>
    <t>11</t>
  </si>
  <si>
    <t>24</t>
  </si>
  <si>
    <t>27</t>
  </si>
  <si>
    <t>28</t>
  </si>
  <si>
    <t>32</t>
  </si>
  <si>
    <t>44</t>
  </si>
  <si>
    <t>52</t>
  </si>
  <si>
    <t>53</t>
  </si>
  <si>
    <t>75</t>
  </si>
  <si>
    <t>76</t>
  </si>
  <si>
    <t>84</t>
  </si>
  <si>
    <t>93</t>
  </si>
  <si>
    <t>94</t>
  </si>
  <si>
    <t>Geographic Distribution_Unindexed LTV Range</t>
  </si>
  <si>
    <t>11_LTV0_40</t>
  </si>
  <si>
    <t>11_LTV40_50</t>
  </si>
  <si>
    <t>11_LTV50_60</t>
  </si>
  <si>
    <t>11_LTV60_70</t>
  </si>
  <si>
    <t>11_LTV70_80</t>
  </si>
  <si>
    <t>11_LTV80_85</t>
  </si>
  <si>
    <t>11_LTV85_90</t>
  </si>
  <si>
    <t>11_LTV90_95</t>
  </si>
  <si>
    <t>11_LTV95_100</t>
  </si>
  <si>
    <t>24_LTV0_40</t>
  </si>
  <si>
    <t>24_LTV40_50</t>
  </si>
  <si>
    <t>24_LTV50_60</t>
  </si>
  <si>
    <t>24_LTV60_70</t>
  </si>
  <si>
    <t>24_LTV70_80</t>
  </si>
  <si>
    <t>24_LTV80_85</t>
  </si>
  <si>
    <t>24_LTV85_90</t>
  </si>
  <si>
    <t>24_LTV90_95</t>
  </si>
  <si>
    <t>24_LTV95_100</t>
  </si>
  <si>
    <t>27_LTV0_40</t>
  </si>
  <si>
    <t>27_LTV40_50</t>
  </si>
  <si>
    <t>27_LTV50_60</t>
  </si>
  <si>
    <t>27_LTV60_70</t>
  </si>
  <si>
    <t>27_LTV70_80</t>
  </si>
  <si>
    <t>27_LTV80_85</t>
  </si>
  <si>
    <t>27_LTV85_90</t>
  </si>
  <si>
    <t>27_LTV90_95</t>
  </si>
  <si>
    <t>27_LTV95_100</t>
  </si>
  <si>
    <t>28_LTV0_40</t>
  </si>
  <si>
    <t>28_LTV40_50</t>
  </si>
  <si>
    <t>28_LTV50_60</t>
  </si>
  <si>
    <t>28_LTV60_70</t>
  </si>
  <si>
    <t>28_LTV70_80</t>
  </si>
  <si>
    <t>28_LTV80_85</t>
  </si>
  <si>
    <t>28_LTV85_90</t>
  </si>
  <si>
    <t>28_LTV90_95</t>
  </si>
  <si>
    <t>28_LTV95_100</t>
  </si>
  <si>
    <t>32_LTV0_40</t>
  </si>
  <si>
    <t>32_LTV40_50</t>
  </si>
  <si>
    <t>32_LTV50_60</t>
  </si>
  <si>
    <t>32_LTV60_70</t>
  </si>
  <si>
    <t>32_LTV70_80</t>
  </si>
  <si>
    <t>32_LTV80_85</t>
  </si>
  <si>
    <t>32_LTV85_90</t>
  </si>
  <si>
    <t>32_LTV90_95</t>
  </si>
  <si>
    <t>32_LTV95_100</t>
  </si>
  <si>
    <t>44_LTV0_40</t>
  </si>
  <si>
    <t>44_LTV40_50</t>
  </si>
  <si>
    <t>44_LTV50_60</t>
  </si>
  <si>
    <t>44_LTV60_70</t>
  </si>
  <si>
    <t>44_LTV70_80</t>
  </si>
  <si>
    <t>44_LTV80_85</t>
  </si>
  <si>
    <t>44_LTV85_90</t>
  </si>
  <si>
    <t>44_LTV90_95</t>
  </si>
  <si>
    <t>44_LTV95_100</t>
  </si>
  <si>
    <t>52_LTV0_40</t>
  </si>
  <si>
    <t>52_LTV40_50</t>
  </si>
  <si>
    <t>52_LTV50_60</t>
  </si>
  <si>
    <t>52_LTV60_70</t>
  </si>
  <si>
    <t>52_LTV70_80</t>
  </si>
  <si>
    <t>52_LTV80_85</t>
  </si>
  <si>
    <t>52_LTV85_90</t>
  </si>
  <si>
    <t>52_LTV90_95</t>
  </si>
  <si>
    <t>52_LTV95_100</t>
  </si>
  <si>
    <t>53_LTV0_40</t>
  </si>
  <si>
    <t>53_LTV40_50</t>
  </si>
  <si>
    <t>53_LTV50_60</t>
  </si>
  <si>
    <t>53_LTV60_70</t>
  </si>
  <si>
    <t>53_LTV70_80</t>
  </si>
  <si>
    <t>53_LTV80_85</t>
  </si>
  <si>
    <t>53_LTV85_90</t>
  </si>
  <si>
    <t>53_LTV90_95</t>
  </si>
  <si>
    <t>53_LTV95_100</t>
  </si>
  <si>
    <t>75_LTV0_40</t>
  </si>
  <si>
    <t>75_LTV40_50</t>
  </si>
  <si>
    <t>75_LTV50_60</t>
  </si>
  <si>
    <t>75_LTV60_70</t>
  </si>
  <si>
    <t>75_LTV70_80</t>
  </si>
  <si>
    <t>75_LTV80_85</t>
  </si>
  <si>
    <t>75_LTV85_90</t>
  </si>
  <si>
    <t>75_LTV90_95</t>
  </si>
  <si>
    <t>75_LTV95_100</t>
  </si>
  <si>
    <t>76_LTV0_40</t>
  </si>
  <si>
    <t>76_LTV40_50</t>
  </si>
  <si>
    <t>76_LTV50_60</t>
  </si>
  <si>
    <t>76_LTV60_70</t>
  </si>
  <si>
    <t>76_LTV70_80</t>
  </si>
  <si>
    <t>76_LTV80_85</t>
  </si>
  <si>
    <t>76_LTV85_90</t>
  </si>
  <si>
    <t>76_LTV90_95</t>
  </si>
  <si>
    <t>76_LTV95_100</t>
  </si>
  <si>
    <t>84_LTV0_40</t>
  </si>
  <si>
    <t>84_LTV40_50</t>
  </si>
  <si>
    <t>84_LTV50_60</t>
  </si>
  <si>
    <t>84_LTV60_70</t>
  </si>
  <si>
    <t>84_LTV70_80</t>
  </si>
  <si>
    <t>84_LTV80_85</t>
  </si>
  <si>
    <t>84_LTV85_90</t>
  </si>
  <si>
    <t>84_LTV90_95</t>
  </si>
  <si>
    <t>84_LTV95_100</t>
  </si>
  <si>
    <t>93_LTV0_40</t>
  </si>
  <si>
    <t>93_LTV40_50</t>
  </si>
  <si>
    <t>93_LTV50_60</t>
  </si>
  <si>
    <t>93_LTV60_70</t>
  </si>
  <si>
    <t>93_LTV70_80</t>
  </si>
  <si>
    <t>93_LTV80_85</t>
  </si>
  <si>
    <t>93_LTV85_90</t>
  </si>
  <si>
    <t>93_LTV90_95</t>
  </si>
  <si>
    <t>93_LTV95_100</t>
  </si>
  <si>
    <t>94_LTV0_40</t>
  </si>
  <si>
    <t>94_LTV40_50</t>
  </si>
  <si>
    <t>94_LTV50_60</t>
  </si>
  <si>
    <t>94_LTV60_70</t>
  </si>
  <si>
    <t>94_LTV70_80</t>
  </si>
  <si>
    <t>94_LTV80_85</t>
  </si>
  <si>
    <t>94_LTV85_90</t>
  </si>
  <si>
    <t>94_LTV90_95</t>
  </si>
  <si>
    <t>94_LTV95_100</t>
  </si>
  <si>
    <t>DOM-TOM_LTV0_40</t>
  </si>
  <si>
    <t>DOM-TOM_LTV40_50</t>
  </si>
  <si>
    <t>DOM-TOM_LTV50_60</t>
  </si>
  <si>
    <t>DOM-TOM_LTV60_70</t>
  </si>
  <si>
    <t>DOM-TOM_LTV70_80</t>
  </si>
  <si>
    <t>DOM-TOM_LTV80_85</t>
  </si>
  <si>
    <t>DOM-TOM_LTV85_90</t>
  </si>
  <si>
    <t>DOM-TOM_LTV90_95</t>
  </si>
  <si>
    <t>DOM-TOM_LTV95_100</t>
  </si>
  <si>
    <t>NODAT_LTV0_40</t>
  </si>
  <si>
    <t>NODAT_LTV40_50</t>
  </si>
  <si>
    <t>NODAT_LTV50_60</t>
  </si>
  <si>
    <t>NODAT_LTV60_70</t>
  </si>
  <si>
    <t>NODAT_LTV70_80</t>
  </si>
  <si>
    <t>NODAT_LTV90_95</t>
  </si>
  <si>
    <t>NODAT_LTV95_100</t>
  </si>
  <si>
    <t>Guaranty Type</t>
  </si>
  <si>
    <t>Indexed LTV Range</t>
  </si>
  <si>
    <t>Interest Payment Frequency_Unindexed LTV Range</t>
  </si>
  <si>
    <t>Monthly_LTV0_40</t>
  </si>
  <si>
    <t>Monthly_LTV40_50</t>
  </si>
  <si>
    <t>Monthly_LTV50_60</t>
  </si>
  <si>
    <t>Monthly_LTV60_70</t>
  </si>
  <si>
    <t>Monthly_LTV70_80</t>
  </si>
  <si>
    <t>Monthly_LTV80_85</t>
  </si>
  <si>
    <t>Monthly_LTV85_90</t>
  </si>
  <si>
    <t>Monthly_LTV90_95</t>
  </si>
  <si>
    <t>Monthly_LTV95_100</t>
  </si>
  <si>
    <t>Quarterly_LTV0_40</t>
  </si>
  <si>
    <t>Quarterly_LTV40_50</t>
  </si>
  <si>
    <t>Quarterly_LTV50_60</t>
  </si>
  <si>
    <t>Quarterly_LTV60_70</t>
  </si>
  <si>
    <t>Quarterly_LTV70_80</t>
  </si>
  <si>
    <t>Quarterly_LTV80_85</t>
  </si>
  <si>
    <t>Quarterly_LTV85_90</t>
  </si>
  <si>
    <t>Quarterly_LTV90_95</t>
  </si>
  <si>
    <t>Quarterly_LTV95_100</t>
  </si>
  <si>
    <t>Semi-annualy_LTV0_40</t>
  </si>
  <si>
    <t>Semi-annualy_LTV40_50</t>
  </si>
  <si>
    <t>Semi-annualy_LTV50_60</t>
  </si>
  <si>
    <t>Semi-annualy_LTV60_70</t>
  </si>
  <si>
    <t>Semi-annualy_LTV85_90</t>
  </si>
  <si>
    <t>Interest Rate Swaps</t>
  </si>
  <si>
    <t>CAP</t>
  </si>
  <si>
    <t>F</t>
  </si>
  <si>
    <t>SCAP</t>
  </si>
  <si>
    <t>Interest Rate Swaps_Unindexed LTV Range</t>
  </si>
  <si>
    <t>CAP_LTV0_40</t>
  </si>
  <si>
    <t>CAP_LTV40_50</t>
  </si>
  <si>
    <t>CAP_LTV50_60</t>
  </si>
  <si>
    <t>CAP_LTV60_70</t>
  </si>
  <si>
    <t>CAP_LTV70_80</t>
  </si>
  <si>
    <t>CAP_LTV80_85</t>
  </si>
  <si>
    <t>CAP_LTV85_90</t>
  </si>
  <si>
    <t>F_LTV0_40</t>
  </si>
  <si>
    <t>F_LTV40_50</t>
  </si>
  <si>
    <t>F_LTV50_60</t>
  </si>
  <si>
    <t>F_LTV60_70</t>
  </si>
  <si>
    <t>F_LTV70_80</t>
  </si>
  <si>
    <t>F_LTV80_85</t>
  </si>
  <si>
    <t>F_LTV85_90</t>
  </si>
  <si>
    <t>F_LTV90_95</t>
  </si>
  <si>
    <t>F_LTV95_100</t>
  </si>
  <si>
    <t>SCAP_LTV0_40</t>
  </si>
  <si>
    <t>SCAP_LTV40_50</t>
  </si>
  <si>
    <t>SCAP_LTV50_60</t>
  </si>
  <si>
    <t>Interest Rate Type</t>
  </si>
  <si>
    <t>FIX_5</t>
  </si>
  <si>
    <t>Interest Rate Type_Unindexed LTV Range</t>
  </si>
  <si>
    <t>FIX_5_LTV0_40</t>
  </si>
  <si>
    <t>FIX_5_LTV40_50</t>
  </si>
  <si>
    <t>FIX_5_LTV50_60</t>
  </si>
  <si>
    <t>FIX_5_LTV60_70</t>
  </si>
  <si>
    <t>FIX_5_LTV70_80</t>
  </si>
  <si>
    <t>FIX_5_LTV80_85</t>
  </si>
  <si>
    <t>FIX_5_LTV85_90</t>
  </si>
  <si>
    <t>FIX_5_LTV90_95</t>
  </si>
  <si>
    <t>FIX_5_LTV95_100</t>
  </si>
  <si>
    <t>VAR_LTV0_40</t>
  </si>
  <si>
    <t>VAR_LTV40_50</t>
  </si>
  <si>
    <t>VAR_LTV50_60</t>
  </si>
  <si>
    <t>VAR_LTV60_70</t>
  </si>
  <si>
    <t>Issuance</t>
  </si>
  <si>
    <t>2023</t>
  </si>
  <si>
    <t>2024</t>
  </si>
  <si>
    <t>2025</t>
  </si>
  <si>
    <t>2026</t>
  </si>
  <si>
    <t>Issuance_placement</t>
  </si>
  <si>
    <t>1_2023</t>
  </si>
  <si>
    <t>1_2024</t>
  </si>
  <si>
    <t>1_2025</t>
  </si>
  <si>
    <t>1_2026</t>
  </si>
  <si>
    <t>2_2023</t>
  </si>
  <si>
    <t>2_2024</t>
  </si>
  <si>
    <t>2_2025</t>
  </si>
  <si>
    <t>2_2026</t>
  </si>
  <si>
    <t>Issuance_taux</t>
  </si>
  <si>
    <t>FIX_2023</t>
  </si>
  <si>
    <t>FIX_2024</t>
  </si>
  <si>
    <t>FIX_2025</t>
  </si>
  <si>
    <t>FIX_2026</t>
  </si>
  <si>
    <t>VAR_2023</t>
  </si>
  <si>
    <t>Loan by ranking</t>
  </si>
  <si>
    <t>Loan Purpose_Unindexed LTV Range</t>
  </si>
  <si>
    <t>ACQ_LTV0_40</t>
  </si>
  <si>
    <t>ACQ_LTV40_50</t>
  </si>
  <si>
    <t>ACQ_LTV50_60</t>
  </si>
  <si>
    <t>ACQ_LTV60_70</t>
  </si>
  <si>
    <t>ACQ_LTV70_80</t>
  </si>
  <si>
    <t>ACQ_LTV80_85</t>
  </si>
  <si>
    <t>ACQ_LTV85_90</t>
  </si>
  <si>
    <t>ACQ_LTV90_95</t>
  </si>
  <si>
    <t>ACQ_LTV95_100</t>
  </si>
  <si>
    <t>AUTR_LTV0_40</t>
  </si>
  <si>
    <t>AUTR_LTV40_50</t>
  </si>
  <si>
    <t>AUTR_LTV50_60</t>
  </si>
  <si>
    <t>AUTR_LTV60_70</t>
  </si>
  <si>
    <t>AUTR_LTV70_80</t>
  </si>
  <si>
    <t>AUTR_LTV80_85</t>
  </si>
  <si>
    <t>AUTR_LTV85_90</t>
  </si>
  <si>
    <t>AUTR_LTV90_95</t>
  </si>
  <si>
    <t>AUTR_LTV95_100</t>
  </si>
  <si>
    <t>CONS_LTV0_40</t>
  </si>
  <si>
    <t>CONS_LTV40_50</t>
  </si>
  <si>
    <t>CONS_LTV50_60</t>
  </si>
  <si>
    <t>CONS_LTV60_70</t>
  </si>
  <si>
    <t>CONS_LTV70_80</t>
  </si>
  <si>
    <t>CONS_LTV80_85</t>
  </si>
  <si>
    <t>CONS_LTV85_90</t>
  </si>
  <si>
    <t>CONS_LTV90_95</t>
  </si>
  <si>
    <t>CONS_LTV95_100</t>
  </si>
  <si>
    <t>REFI_LTV0_40</t>
  </si>
  <si>
    <t>REFI_LTV40_50</t>
  </si>
  <si>
    <t>REFI_LTV50_60</t>
  </si>
  <si>
    <t>REFI_LTV60_70</t>
  </si>
  <si>
    <t>REFI_LTV70_80</t>
  </si>
  <si>
    <t>REFI_LTV80_85</t>
  </si>
  <si>
    <t>REFI_LTV85_90</t>
  </si>
  <si>
    <t>REFI_LTV90_95</t>
  </si>
  <si>
    <t>REFI_LTV95_100</t>
  </si>
  <si>
    <t>RENO_LTV0_40</t>
  </si>
  <si>
    <t>RENO_LTV40_50</t>
  </si>
  <si>
    <t>RENO_LTV50_60</t>
  </si>
  <si>
    <t>RENO_LTV60_70</t>
  </si>
  <si>
    <t>RENO_LTV70_80</t>
  </si>
  <si>
    <t>RENO_LTV80_85</t>
  </si>
  <si>
    <t>RENO_LTV85_90</t>
  </si>
  <si>
    <t>RENO_LTV90_95</t>
  </si>
  <si>
    <t>RENO_LTV95_100</t>
  </si>
  <si>
    <t>Loans In Arrears_Unindexed LTV Range</t>
  </si>
  <si>
    <t>&lt;2_LTV0_40</t>
  </si>
  <si>
    <t>&lt;2_LTV40_50</t>
  </si>
  <si>
    <t>&lt;2_LTV50_60</t>
  </si>
  <si>
    <t>&lt;2_LTV60_70</t>
  </si>
  <si>
    <t>&lt;2_LTV70_80</t>
  </si>
  <si>
    <t>&lt;2_LTV80_85</t>
  </si>
  <si>
    <t>&lt;2_LTV85_90</t>
  </si>
  <si>
    <t>&lt;2_LTV90_95</t>
  </si>
  <si>
    <t>&lt;2_LTV95_100</t>
  </si>
  <si>
    <t>Maturity</t>
  </si>
  <si>
    <t>OCB</t>
  </si>
  <si>
    <t>OCB_placement</t>
  </si>
  <si>
    <t>OCB_taux</t>
  </si>
  <si>
    <t>VAR_2024</t>
  </si>
  <si>
    <t>VAR_2025</t>
  </si>
  <si>
    <t>VAR_2026</t>
  </si>
  <si>
    <t>Occupancy Type</t>
  </si>
  <si>
    <t>Occupancy Type_Unindexed LTV Range</t>
  </si>
  <si>
    <t>Buy to let_LTV0_40</t>
  </si>
  <si>
    <t>Buy to let_LTV40_50</t>
  </si>
  <si>
    <t>Buy to let_LTV50_60</t>
  </si>
  <si>
    <t>Buy to let_LTV60_70</t>
  </si>
  <si>
    <t>Buy to let_LTV70_80</t>
  </si>
  <si>
    <t>Buy to let_LTV80_85</t>
  </si>
  <si>
    <t>Buy to let_LTV85_90</t>
  </si>
  <si>
    <t>Buy to let_LTV90_95</t>
  </si>
  <si>
    <t>Buy to let_LTV95_100</t>
  </si>
  <si>
    <t>Owner Occupied_LTV0_40</t>
  </si>
  <si>
    <t>Owner Occupied_LTV40_50</t>
  </si>
  <si>
    <t>Owner Occupied_LTV50_60</t>
  </si>
  <si>
    <t>Owner Occupied_LTV60_70</t>
  </si>
  <si>
    <t>Owner Occupied_LTV70_80</t>
  </si>
  <si>
    <t>Owner Occupied_LTV80_85</t>
  </si>
  <si>
    <t>Owner Occupied_LTV85_90</t>
  </si>
  <si>
    <t>Owner Occupied_LTV90_95</t>
  </si>
  <si>
    <t>Owner Occupied_LTV95_100</t>
  </si>
  <si>
    <t>Vacation / Second Home_LTV0_40</t>
  </si>
  <si>
    <t>Vacation / Second Home_LTV40_50</t>
  </si>
  <si>
    <t>Vacation / Second Home_LTV50_60</t>
  </si>
  <si>
    <t>Vacation / Second Home_LTV60_70</t>
  </si>
  <si>
    <t>Vacation / Second Home_LTV70_80</t>
  </si>
  <si>
    <t>Vacation / Second Home_LTV80_85</t>
  </si>
  <si>
    <t>Vacation / Second Home_LTV85_90</t>
  </si>
  <si>
    <t>Vacation / Second Home_LTV90_95</t>
  </si>
  <si>
    <t>Vacation / Second Home_LTV95_100</t>
  </si>
  <si>
    <t>Particulier_garantie</t>
  </si>
  <si>
    <t>Particuliers_CEGC</t>
  </si>
  <si>
    <t>Particuliers_CL</t>
  </si>
  <si>
    <t>Particuliers_FGAS</t>
  </si>
  <si>
    <t>Particuliers_HYPO</t>
  </si>
  <si>
    <t>Particuliers_PARNASSE</t>
  </si>
  <si>
    <t>SCI-Entrepreneur.ind_CEGC</t>
  </si>
  <si>
    <t>SCI-Entrepreneur.ind_CL</t>
  </si>
  <si>
    <t>SCI-Entrepreneur.ind_FGAS</t>
  </si>
  <si>
    <t>SCI-Entrepreneur.ind_HYPO</t>
  </si>
  <si>
    <t>SCI-Entrepreneur.ind_PARNASSE</t>
  </si>
  <si>
    <t>Principal Payment Frequency_Unindexed LTV Range</t>
  </si>
  <si>
    <t>Quarterly/Semi-annualy_LTV0_40</t>
  </si>
  <si>
    <t>Quarterly/Semi-annualy_LTV40_50</t>
  </si>
  <si>
    <t>Quarterly/Semi-annualy_LTV50_60</t>
  </si>
  <si>
    <t>Quarterly/Semi-annualy_LTV60_70</t>
  </si>
  <si>
    <t>Quarterly/Semi-annualy_LTV70_80</t>
  </si>
  <si>
    <t>Quarterly/Semi-annualy_LTV80_85</t>
  </si>
  <si>
    <t>Quarterly/Semi-annualy_LTV85_90</t>
  </si>
  <si>
    <t>Quarterly/Semi-annualy_LTV90_95</t>
  </si>
  <si>
    <t>Quarterly/Semi-annualy_LTV95_100</t>
  </si>
  <si>
    <t>Property Type_Unindexed LTV Range</t>
  </si>
  <si>
    <t>FLAT_3_LTV0_40</t>
  </si>
  <si>
    <t>FLAT_3_LTV40_50</t>
  </si>
  <si>
    <t>FLAT_3_LTV50_60</t>
  </si>
  <si>
    <t>FLAT_3_LTV60_70</t>
  </si>
  <si>
    <t>FLAT_3_LTV70_80</t>
  </si>
  <si>
    <t>FLAT_3_LTV80_85</t>
  </si>
  <si>
    <t>FLAT_3_LTV85_90</t>
  </si>
  <si>
    <t>FLAT_3_LTV90_95</t>
  </si>
  <si>
    <t>FLAT_3_LTV95_100</t>
  </si>
  <si>
    <t>HOUSE_LTV0_40</t>
  </si>
  <si>
    <t>HOUSE_LTV40_50</t>
  </si>
  <si>
    <t>HOUSE_LTV50_60</t>
  </si>
  <si>
    <t>HOUSE_LTV60_70</t>
  </si>
  <si>
    <t>HOUSE_LTV70_80</t>
  </si>
  <si>
    <t>HOUSE_LTV80_85</t>
  </si>
  <si>
    <t>HOUSE_LTV85_90</t>
  </si>
  <si>
    <t>HOUSE_LTV90_95</t>
  </si>
  <si>
    <t>HOUSE_LTV95_100</t>
  </si>
  <si>
    <t>OTHER_LTV0_40</t>
  </si>
  <si>
    <t>OTHER_LTV40_50</t>
  </si>
  <si>
    <t>OTHER_LTV50_60</t>
  </si>
  <si>
    <t>OTHER_LTV60_70</t>
  </si>
  <si>
    <t>OTHER_LTV70_80</t>
  </si>
  <si>
    <t>OTHER_LTV80_85</t>
  </si>
  <si>
    <t>OTHER_LTV85_90</t>
  </si>
  <si>
    <t>OTHER_LTV90_95</t>
  </si>
  <si>
    <t>OTHER_LTV95_100</t>
  </si>
  <si>
    <t>RA</t>
  </si>
  <si>
    <t>MONTANT RA</t>
  </si>
  <si>
    <t>Seasoning</t>
  </si>
  <si>
    <t>Seasoning_Unindexed LTV Range</t>
  </si>
  <si>
    <t>&lt;12_LTV0_40</t>
  </si>
  <si>
    <t>&lt;12_LTV40_50</t>
  </si>
  <si>
    <t>&lt;12_LTV50_60</t>
  </si>
  <si>
    <t>&lt;12_LTV60_70</t>
  </si>
  <si>
    <t>&lt;12_LTV70_80</t>
  </si>
  <si>
    <t>&lt;12_LTV80_85</t>
  </si>
  <si>
    <t>&lt;12_LTV85_90</t>
  </si>
  <si>
    <t>&lt;12_LTV90_95</t>
  </si>
  <si>
    <t>&lt;12_LTV95_100</t>
  </si>
  <si>
    <t>&gt;=12-&lt;24_LTV0_40</t>
  </si>
  <si>
    <t>&gt;=12-&lt;24_LTV40_50</t>
  </si>
  <si>
    <t>&gt;=12-&lt;24_LTV50_60</t>
  </si>
  <si>
    <t>&gt;=12-&lt;24_LTV60_70</t>
  </si>
  <si>
    <t>&gt;=12-&lt;24_LTV70_80</t>
  </si>
  <si>
    <t>&gt;=12-&lt;24_LTV80_85</t>
  </si>
  <si>
    <t>&gt;=12-&lt;24_LTV85_90</t>
  </si>
  <si>
    <t>&gt;=12-&lt;24_LTV90_95</t>
  </si>
  <si>
    <t>&gt;=12-&lt;24_LTV95_100</t>
  </si>
  <si>
    <t>&gt;=24-&lt;36_LTV0_40</t>
  </si>
  <si>
    <t>&gt;=24-&lt;36_LTV40_50</t>
  </si>
  <si>
    <t>&gt;=24-&lt;36_LTV50_60</t>
  </si>
  <si>
    <t>&gt;=24-&lt;36_LTV60_70</t>
  </si>
  <si>
    <t>&gt;=24-&lt;36_LTV70_80</t>
  </si>
  <si>
    <t>&gt;=24-&lt;36_LTV80_85</t>
  </si>
  <si>
    <t>&gt;=24-&lt;36_LTV85_90</t>
  </si>
  <si>
    <t>&gt;=24-&lt;36_LTV90_95</t>
  </si>
  <si>
    <t>&gt;=24-&lt;36_LTV95_100</t>
  </si>
  <si>
    <t>&gt;=36-&lt;60_LTV0_40</t>
  </si>
  <si>
    <t>&gt;=36-&lt;60_LTV40_50</t>
  </si>
  <si>
    <t>&gt;=36-&lt;60_LTV50_60</t>
  </si>
  <si>
    <t>&gt;=36-&lt;60_LTV60_70</t>
  </si>
  <si>
    <t>&gt;=36-&lt;60_LTV70_80</t>
  </si>
  <si>
    <t>&gt;=36-&lt;60_LTV80_85</t>
  </si>
  <si>
    <t>&gt;=36-&lt;60_LTV85_90</t>
  </si>
  <si>
    <t>&gt;=36-&lt;60_LTV90_95</t>
  </si>
  <si>
    <t>&gt;=36-&lt;60_LTV95_100</t>
  </si>
  <si>
    <t>&gt;=60_LTV0_40</t>
  </si>
  <si>
    <t>&gt;=60_LTV40_50</t>
  </si>
  <si>
    <t>&gt;=60_LTV50_60</t>
  </si>
  <si>
    <t>&gt;=60_LTV60_70</t>
  </si>
  <si>
    <t>&gt;=60_LTV70_80</t>
  </si>
  <si>
    <t>&gt;=60_LTV80_85</t>
  </si>
  <si>
    <t>&gt;=60_LTV85_90</t>
  </si>
  <si>
    <t>&gt;=60_LTV90_95</t>
  </si>
  <si>
    <t>&gt;=60_LTV95_100</t>
  </si>
  <si>
    <t>Summary</t>
  </si>
  <si>
    <t>AHLOPA</t>
  </si>
  <si>
    <t>ENAGEPRT</t>
  </si>
  <si>
    <t>ENDRACOU</t>
  </si>
  <si>
    <t>ENLTVIND</t>
  </si>
  <si>
    <t>ENMTLTV</t>
  </si>
  <si>
    <t>ENTXF</t>
  </si>
  <si>
    <t>ENTXINCR</t>
  </si>
  <si>
    <t>ENTXVAG4</t>
  </si>
  <si>
    <t>ENTXV_TXFV</t>
  </si>
  <si>
    <t>ENTXV_TXINCR</t>
  </si>
  <si>
    <t>MONTANT_PONDERE</t>
  </si>
  <si>
    <t>TOPREPORT</t>
  </si>
  <si>
    <t>WAL</t>
  </si>
  <si>
    <t>Unindexed LTV Range</t>
  </si>
  <si>
    <t>F_rapext</t>
  </si>
  <si>
    <t>V_rapext</t>
  </si>
  <si>
    <t>WAL_contractual</t>
  </si>
  <si>
    <t>WAL_expected</t>
  </si>
  <si>
    <t>FRENCH NATIONAL COVERED BOND LABEL REPORTING TEMPLATE</t>
  </si>
  <si>
    <t xml:space="preserve">CB ISSUER </t>
  </si>
  <si>
    <t xml:space="preserve">Reporting date </t>
  </si>
  <si>
    <t>(dd/mm/yyyy)</t>
  </si>
  <si>
    <t>GROUP LEVEL  INFORMATION AND SENIOR UNSECURED RATINGS</t>
  </si>
  <si>
    <t>1.1</t>
  </si>
  <si>
    <t>Group</t>
  </si>
  <si>
    <t>BPCE</t>
  </si>
  <si>
    <t>Group parent company</t>
  </si>
  <si>
    <t>Group consolidated financial information (link)</t>
  </si>
  <si>
    <t>https://www.groupebpce.com/investisseurs/en-synthese</t>
  </si>
  <si>
    <t>1.2</t>
  </si>
  <si>
    <t>Rating</t>
  </si>
  <si>
    <t>Rating Watch</t>
  </si>
  <si>
    <t>Outlook</t>
  </si>
  <si>
    <t>Senior unsecured rating (group parent company)</t>
  </si>
  <si>
    <t>Fitch</t>
  </si>
  <si>
    <t>Moody's</t>
  </si>
  <si>
    <t>S&amp;P</t>
  </si>
  <si>
    <t>1.3</t>
  </si>
  <si>
    <t>Rating watch</t>
  </si>
  <si>
    <t>Covered bond issuer rating (senior unsecured)</t>
  </si>
  <si>
    <t>NA</t>
  </si>
  <si>
    <t>1.4</t>
  </si>
  <si>
    <t xml:space="preserve"> Core tier 1 ratio (%) (group parent company)</t>
  </si>
  <si>
    <t>as of</t>
  </si>
  <si>
    <t>COVERED BOND ISSUER OVERVIEW</t>
  </si>
  <si>
    <t>2.1</t>
  </si>
  <si>
    <t>Covered bond issuer</t>
  </si>
  <si>
    <t>Name of the covered bond issuer</t>
  </si>
  <si>
    <t>Country in which the issuer is based</t>
  </si>
  <si>
    <t>FRANCE</t>
  </si>
  <si>
    <t>Financial information (link)</t>
  </si>
  <si>
    <t>https://groupebpce.com/investisseurs/dette/bpce-sfh</t>
  </si>
  <si>
    <t>Information on the legal framework (link)</t>
  </si>
  <si>
    <t>UCITS compliant (Y / N) ?</t>
  </si>
  <si>
    <t>CRD compliant (Y / N) ?</t>
  </si>
  <si>
    <t>2.2</t>
  </si>
  <si>
    <t>Covered bonds and cover pool</t>
  </si>
  <si>
    <t>of which eligible</t>
  </si>
  <si>
    <t>outstanding</t>
  </si>
  <si>
    <t>to 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</si>
  <si>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</si>
  <si>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</si>
  <si>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</si>
  <si>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</si>
  <si>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</si>
  <si>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</si>
  <si>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</si>
  <si>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</si>
  <si>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</si>
  <si>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</si>
  <si>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</si>
  <si>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(ACT)</t>
  </si>
  <si>
    <t>2.4</t>
  </si>
  <si>
    <t>Covered bonds ratings</t>
  </si>
  <si>
    <t>Covered bonds rating</t>
  </si>
  <si>
    <t>Aaa</t>
  </si>
  <si>
    <t>AAA</t>
  </si>
  <si>
    <t>2.5</t>
  </si>
  <si>
    <t>Liabilities of the covered bond issuer</t>
  </si>
  <si>
    <t>LIABILITIES</t>
  </si>
  <si>
    <t>Outstanding</t>
  </si>
  <si>
    <t>Subordinated debt</t>
  </si>
  <si>
    <t>Other non privileged liabilities</t>
  </si>
  <si>
    <t>Total equity and non privileged liabilities</t>
  </si>
  <si>
    <t>Other privileged liabilities</t>
  </si>
  <si>
    <t>Total privileged liabilities</t>
  </si>
  <si>
    <t>TOTAL</t>
  </si>
  <si>
    <t>2.6</t>
  </si>
  <si>
    <t>Information required under article 129(7) CRR </t>
  </si>
  <si>
    <r>
      <rPr>
        <sz val="10"/>
        <color rgb="FF000000"/>
        <rFont val="Arial"/>
        <family val="2"/>
      </rPr>
      <t xml:space="preserve">(i)    Value of the cover pool and outstanding covered bonds : </t>
    </r>
    <r>
      <rPr>
        <i/>
        <sz val="10"/>
        <color rgb="FF000000"/>
        <rFont val="Arial"/>
        <family val="2"/>
      </rPr>
      <t>please refer to section 2.2</t>
    </r>
  </si>
  <si>
    <r>
      <rPr>
        <sz val="10"/>
        <color rgb="FF000000"/>
        <rFont val="Arial"/>
        <family val="2"/>
      </rPr>
      <t xml:space="preserve">(ii)   Geographical distribution : </t>
    </r>
    <r>
      <rPr>
        <i/>
        <sz val="10"/>
        <color rgb="FF000000"/>
        <rFont val="Arial"/>
        <family val="2"/>
      </rPr>
      <t>please refer to section 4.3 (residential), 5.2 , 5.3 and 5.4 (public sector)</t>
    </r>
  </si>
  <si>
    <t xml:space="preserve">       Type of cover assets : section 2.2</t>
  </si>
  <si>
    <t xml:space="preserve">       Loan size : section 4.12 (residential) and 5.8 (public sector)  </t>
  </si>
  <si>
    <t xml:space="preserve">       Interest rate and currency risks </t>
  </si>
  <si>
    <t xml:space="preserve">hedging policy : section 3.4 </t>
  </si>
  <si>
    <t>assets interest rate and currency : section 4.10 (residential), 5.5 and 5.6 (public sector)</t>
  </si>
  <si>
    <t>CB interest rate and currency : section 6.1 and 6.2</t>
  </si>
  <si>
    <r>
      <rPr>
        <sz val="10"/>
        <color rgb="FF000000"/>
        <rFont val="Arial"/>
        <family val="2"/>
      </rPr>
      <t>(iii)  Maturity structure of cover assets and covered bonds :</t>
    </r>
    <r>
      <rPr>
        <i/>
        <sz val="10"/>
        <color rgb="FF000000"/>
        <rFont val="Arial"/>
        <family val="2"/>
      </rPr>
      <t xml:space="preserve"> please refer to  section 3.1, 3.2 and 3.3 </t>
    </r>
  </si>
  <si>
    <r>
      <rPr>
        <sz val="10"/>
        <color rgb="FF000000"/>
        <rFont val="Arial"/>
        <family val="2"/>
      </rPr>
      <t xml:space="preserve">(iv)  Percentage of loans more than ninety days past due : </t>
    </r>
    <r>
      <rPr>
        <i/>
        <sz val="10"/>
        <color rgb="FF000000"/>
        <rFont val="Arial"/>
        <family val="2"/>
      </rPr>
      <t xml:space="preserve">please refer to section 4.1 (residential) and 5.1 (public sector) </t>
    </r>
  </si>
  <si>
    <t>2.7</t>
  </si>
  <si>
    <t>Compliance with the whole article  129 CRR</t>
  </si>
  <si>
    <t>ALM OF THE COVERED BOND ISSUER</t>
  </si>
  <si>
    <t>3.1</t>
  </si>
  <si>
    <t>WAL (weighted average life) of cover pool and covered bonds</t>
  </si>
  <si>
    <t>Expected</t>
  </si>
  <si>
    <t>explanations (CPR rate used etc)</t>
  </si>
  <si>
    <t>Public sector</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</si>
  <si>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</si>
  <si>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</si>
  <si>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</si>
  <si>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</si>
  <si>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</si>
  <si>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</si>
  <si>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</si>
  <si>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</si>
  <si>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</si>
  <si>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</si>
  <si>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</si>
  <si>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</si>
  <si>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</si>
  <si>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</si>
  <si>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</si>
  <si>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</si>
  <si>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 limits, counterparties etc (if applicable)</t>
  </si>
  <si>
    <t xml:space="preserve">The Notes issued under the Programme may be Fixed Rate Notes, Floating Rate Notes, Index Linked Notes or Zero Coupon Notes. Each Series of Notes will be denominated in any Specified Currency and may be Dual Currency Notes (see "Terms and Conditions of the French law Notes").
The proceeds from the issuance of the Notes under the Programme will be used by the Issuer to fund Borrower Loans to be made available to the Borrowers under the Credit Facility. The terms and conditions regarding the calculation and the payment of principal and interest under a Borrower Loan shall mirror the equivalent terms and conditions of the Notes funding such Borrower Loan.
The Issuer is therefore not exposed to any risk of an interest rate mismatch arising between the payments received on the Borrower Loans and the payments to be made under the Notes. As a consequence, in the absence of any Hedging Trigger Event the Issuer will have no obligation to hedge any interest rate risk.
The determination of the interest rate of each Series of Notes, as specified in each applicable Final Terms, shall be made by the Issuer regardless of the interest rate conditions applicable, as the case may be, to such Collateral Security Assets.
Before a Hedging Trigger Event occurs, the Borrowers retain any interest rate risk linked to the mismatch between the Collateral Security Assets and the Borrower Loan. Thus until the occurrence of such Hedging Trigger Event, the Borrowers will hedge this interest rate risks according to their usual and current strategies and practices.
Furthermore, before a Hedging Trigger Event occurs, and in order to enhance investors’ protection and reduce interest rate risk and maturity mismatch upon collateral enforcement, BPCE shall comply with the hedging management guidelines (as described in “The Hedging Letter”). BPCE will ensure on each Asset Cover Test Date that:
     1. The amount of interest to be received under the Collateral Security Assets shall exceed the amount of interest to be paid under the Notes; and
     2. The difference between the weighted average life of the Collateral Security Assets and the weighted average life of the outstanding Notes shall not exceed 18 months.
</t>
  </si>
  <si>
    <t>Internal</t>
  </si>
  <si>
    <t xml:space="preserve"> </t>
  </si>
  <si>
    <t>External</t>
  </si>
  <si>
    <t>Currency risk</t>
  </si>
  <si>
    <t>The Borrower Loan and the Notes funding such Borrower Loan may be denominated in different
currencies.
In order to hedge the risk resulting from that currency mismatch, under the Hedging Approved From
Letter, BPCE SFH has undertaken, and BPCE (acting in capacity as Administrative Agent and
Management and Recovery Agent), has acknowledged and agreed, that if, on any proposed Utilisation
Date, the relevant Borrower Loans and the corresponding Notes are denominated in different
currencies, BPCE SFH shall enter into the necessary currency hedging transaction(s) with an Eligible
Hedging Provider, on or before the issuance of the relevant Notes and granting of the relevant
Borrower Loan (the Pre-Enforcement Currency Hedging Transaction(s)). Pursuant to the Credit
Facility and Collateral Framework Agreement, BPCE SFH has undertaken in favour of the Borrowers
to use commercially reasonable efforts for that purpose, provided that if BPCE SFH does not find any
such Eligible Hedging Provider agreeing to enter into such Pre-Enforcement Currency Hedging
Transaction(s), the corresponding Notes shall not be issued and the relevant Borrower Loan shall not be
made available by BPCE SFH to the relevant Borrower.</t>
  </si>
  <si>
    <t>3.5</t>
  </si>
  <si>
    <t>Liquid assets</t>
  </si>
  <si>
    <t>nominal</t>
  </si>
  <si>
    <t>ECB eligible internal ABS</t>
  </si>
  <si>
    <t>ECB eligible external ABS</t>
  </si>
  <si>
    <t>ECB eligible public exposures</t>
  </si>
  <si>
    <t>ECB eligible</t>
  </si>
  <si>
    <t>Total liquid assets</t>
  </si>
  <si>
    <t>% liquid assets / covered bonds</t>
  </si>
  <si>
    <t>Liquidity support</t>
  </si>
  <si>
    <t>comments</t>
  </si>
  <si>
    <t>% liquidity support / covered bonds</t>
  </si>
  <si>
    <t>3.6</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</si>
  <si>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</si>
  <si>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</si>
  <si>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</si>
  <si>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</si>
  <si>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</si>
  <si>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</si>
  <si>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</si>
  <si>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</si>
  <si>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</si>
  <si>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</si>
  <si>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</si>
  <si>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</si>
  <si>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</si>
  <si>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</si>
  <si>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</si>
  <si>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&gt;3 months</t>
  </si>
  <si>
    <t>4.2</t>
  </si>
  <si>
    <t>Arrears and defaulted loans outstanding (including external MBS)</t>
  </si>
  <si>
    <t>Zone</t>
  </si>
  <si>
    <t>%</t>
  </si>
  <si>
    <t>EU</t>
  </si>
  <si>
    <t>4.3</t>
  </si>
  <si>
    <t>Regional breakdown of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</si>
  <si>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</si>
  <si>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</si>
  <si>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</si>
  <si>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</si>
  <si>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</si>
  <si>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</si>
  <si>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</si>
  <si>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</si>
  <si>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</si>
  <si>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</si>
  <si>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</si>
  <si>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</si>
  <si>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</si>
  <si>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</si>
  <si>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</si>
  <si>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</si>
  <si>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</si>
  <si>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</si>
  <si>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</si>
  <si>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</si>
  <si>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</si>
  <si>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</si>
  <si>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</si>
  <si>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</si>
  <si>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guaranty</t>
  </si>
  <si>
    <t>1st lien mortgage without state guaranty</t>
  </si>
  <si>
    <t>Total 1st lien mortgages</t>
  </si>
  <si>
    <t>guaranteed</t>
  </si>
  <si>
    <t>Crédit Logement</t>
  </si>
  <si>
    <t>other (if applicable)</t>
  </si>
  <si>
    <t>total guarantees</t>
  </si>
  <si>
    <t>4.7</t>
  </si>
  <si>
    <t>Seasoning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</si>
  <si>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</si>
  <si>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</si>
  <si>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</si>
  <si>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</si>
  <si>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</si>
  <si>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</si>
  <si>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</si>
  <si>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</si>
  <si>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</si>
  <si>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</si>
  <si>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</si>
  <si>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</si>
  <si>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</si>
  <si>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</si>
  <si>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</si>
  <si>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</si>
  <si>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</si>
  <si>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</si>
  <si>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 (1y or less)</t>
  </si>
  <si>
    <t>Mixed (1y+)</t>
  </si>
  <si>
    <t>4.11</t>
  </si>
  <si>
    <t>Borrowers (excluding external MBS)</t>
  </si>
  <si>
    <t>Employees</t>
  </si>
  <si>
    <t>Civil servants</t>
  </si>
  <si>
    <t>Self employed</t>
  </si>
  <si>
    <t>Retired / Pensioner</t>
  </si>
  <si>
    <t>Other non-working</t>
  </si>
  <si>
    <t>Real estate company</t>
  </si>
  <si>
    <t>4.12</t>
  </si>
  <si>
    <t>Granularity and large exposures (excluding external MBS)</t>
  </si>
  <si>
    <t>Number of loans</t>
  </si>
  <si>
    <t>Average outstanding balance (€)</t>
  </si>
  <si>
    <t>% of total
cover pool</t>
  </si>
  <si>
    <t>5 largest exposures (%)</t>
  </si>
  <si>
    <t>10 largest exposures (%)</t>
  </si>
  <si>
    <t xml:space="preserve">Residential </t>
  </si>
  <si>
    <t xml:space="preserve">Number of loans </t>
  </si>
  <si>
    <t xml:space="preserve">Outstanding </t>
  </si>
  <si>
    <t>% of total cover pool (outstanding)</t>
  </si>
  <si>
    <t xml:space="preserve">TOTAL </t>
  </si>
  <si>
    <t>4.13</t>
  </si>
  <si>
    <t>Residential MBS</t>
  </si>
  <si>
    <t>Internal RMBS DETAILS</t>
  </si>
  <si>
    <t>Name</t>
  </si>
  <si>
    <t>ISIN</t>
  </si>
  <si>
    <t>Outstanding balance</t>
  </si>
  <si>
    <t>Year of last issuance</t>
  </si>
  <si>
    <t>% subordination</t>
  </si>
  <si>
    <t>% reserve fund</t>
  </si>
  <si>
    <t>% credit enhancement</t>
  </si>
  <si>
    <t>Main country (assets)</t>
  </si>
  <si>
    <t>Originator(s)</t>
  </si>
  <si>
    <t>RMBS 1</t>
  </si>
  <si>
    <t>RMBS 2</t>
  </si>
  <si>
    <t>RMBS 3</t>
  </si>
  <si>
    <t>etc…</t>
  </si>
  <si>
    <t>External RMBS DETAILS</t>
  </si>
  <si>
    <t>CB ISSUER</t>
  </si>
  <si>
    <t>Reporting date</t>
  </si>
  <si>
    <t>PUBLIC SECTOR COVER POOL DATA</t>
  </si>
  <si>
    <t>5.1</t>
  </si>
  <si>
    <t>Arrears and defaulted loans outstanding</t>
  </si>
  <si>
    <t>% of outstanding public sector assets</t>
  </si>
  <si>
    <t>Defaulted (6+)</t>
  </si>
  <si>
    <t xml:space="preserve">&gt;3 months </t>
  </si>
  <si>
    <t>5.2</t>
  </si>
  <si>
    <t>Geographical distribution and type of Claim</t>
  </si>
  <si>
    <t>Exposures to or garanteed by Supranational Institution</t>
  </si>
  <si>
    <t xml:space="preserve">Exposures to Sovereigns </t>
  </si>
  <si>
    <t xml:space="preserve">Exposures garanteed by Sovereigns </t>
  </si>
  <si>
    <t>Exposures garanteed by ECA</t>
  </si>
  <si>
    <t xml:space="preserve">Exposures to regions / departments / federal states </t>
  </si>
  <si>
    <t xml:space="preserve">Exposures garanteed by regions / departments / federal states </t>
  </si>
  <si>
    <t xml:space="preserve">Exposures to municipalities </t>
  </si>
  <si>
    <t xml:space="preserve">Exposures garanteed by municipalities </t>
  </si>
  <si>
    <t>Other direct public exposures</t>
  </si>
  <si>
    <t>Other indirect public exposures</t>
  </si>
  <si>
    <t>EUROPE</t>
  </si>
  <si>
    <t>other countries Europe….</t>
  </si>
  <si>
    <t>…………………</t>
  </si>
  <si>
    <t>Asia</t>
  </si>
  <si>
    <t>other countries Asia….</t>
  </si>
  <si>
    <t>other continents………</t>
  </si>
  <si>
    <t>5.3</t>
  </si>
  <si>
    <t>Geographical distribution and nature of the underlying operation</t>
  </si>
  <si>
    <t>Securities</t>
  </si>
  <si>
    <t>ABS</t>
  </si>
  <si>
    <t>other countries</t>
  </si>
  <si>
    <t>other continents</t>
  </si>
  <si>
    <t>5.4</t>
  </si>
  <si>
    <t>Regional exposures</t>
  </si>
  <si>
    <t>5.5</t>
  </si>
  <si>
    <t>Interest rate</t>
  </si>
  <si>
    <t>Floating</t>
  </si>
  <si>
    <t>Mixed</t>
  </si>
  <si>
    <t>5.6</t>
  </si>
  <si>
    <t>Currency</t>
  </si>
  <si>
    <t>5.7</t>
  </si>
  <si>
    <t>Principal amortisation</t>
  </si>
  <si>
    <t>5.8</t>
  </si>
  <si>
    <t>Granularity and large exposures</t>
  </si>
  <si>
    <t>Number of exposures</t>
  </si>
  <si>
    <t>5.82</t>
  </si>
  <si>
    <t>0-500k€</t>
  </si>
  <si>
    <t>500-1M€</t>
  </si>
  <si>
    <t>1M-5M€</t>
  </si>
  <si>
    <t>5M-10M€</t>
  </si>
  <si>
    <t>10M-50M€</t>
  </si>
  <si>
    <t>50M-100M€</t>
  </si>
  <si>
    <t>&gt;100M€</t>
  </si>
  <si>
    <t>5.9</t>
  </si>
  <si>
    <t>Public sector ABS</t>
  </si>
  <si>
    <t>Internal ABS DETAILS</t>
  </si>
  <si>
    <t>ABS 1</t>
  </si>
  <si>
    <t>ABS 2</t>
  </si>
  <si>
    <t>ABS 3</t>
  </si>
  <si>
    <t>External ABS DETAILS</t>
  </si>
  <si>
    <t>COVERED BONDS</t>
  </si>
  <si>
    <t>6.1</t>
  </si>
  <si>
    <t>Outstanding covered bonds</t>
  </si>
  <si>
    <t>Public placement</t>
  </si>
  <si>
    <t>Private placement</t>
  </si>
  <si>
    <t>Sum</t>
  </si>
  <si>
    <t>Denominated in €</t>
  </si>
  <si>
    <t>Denominated in USD</t>
  </si>
  <si>
    <t>Denominated in CHF</t>
  </si>
  <si>
    <t>Denominated in JPY</t>
  </si>
  <si>
    <t>Denominated in GBP</t>
  </si>
  <si>
    <t>6.2</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</si>
  <si>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</si>
  <si>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</si>
  <si>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</si>
  <si>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</si>
  <si>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</si>
  <si>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</si>
  <si>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</si>
  <si>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</si>
  <si>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</si>
  <si>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</si>
  <si>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</si>
  <si>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</si>
  <si>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</si>
  <si>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</si>
  <si>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</si>
  <si>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</si>
  <si>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</si>
  <si>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</si>
  <si>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</si>
  <si>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</si>
  <si>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</si>
  <si>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</si>
  <si>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assets eligible to CB refinancing" :</t>
  </si>
  <si>
    <t>The outstanding amount of eligible assets including replacement assets shall be filled in.</t>
  </si>
  <si>
    <t>The eligible amounts only take into account assets which fulfill the legal eligibility criteria to the cover pool.</t>
  </si>
  <si>
    <t xml:space="preserve">For residential loans, the eligible amounts are limited to 80% of the value of the pledged property for </t>
  </si>
  <si>
    <t xml:space="preserve">mortgage loans or of the financed property for guaranteed loans. The legal coverage ratio's weightings </t>
  </si>
  <si>
    <t xml:space="preserve">of eligible assets are not taken into account in this calculation (e.g. a loan guaranteed by an eligible </t>
  </si>
  <si>
    <t xml:space="preserve">guarantor with an LTV level below the 80% / 60% cap is entered for 100% of its outstanding amount </t>
  </si>
  <si>
    <t>regardless of the  guarantor's rating).</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</si>
  <si>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</si>
  <si>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</si>
  <si>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</si>
  <si>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</si>
  <si>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</si>
  <si>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</si>
  <si>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</si>
  <si>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</si>
  <si>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</si>
  <si>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</si>
  <si>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</si>
  <si>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</si>
  <si>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</si>
  <si>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</si>
  <si>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</si>
  <si>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</si>
  <si>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</si>
  <si>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</si>
  <si>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</si>
  <si>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</si>
  <si>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</si>
  <si>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</si>
  <si>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</si>
  <si>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</si>
  <si>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</si>
  <si>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</si>
  <si>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</si>
  <si>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</si>
  <si>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</si>
  <si>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</si>
  <si>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</si>
  <si>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</si>
  <si>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</si>
  <si>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</si>
  <si>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</si>
  <si>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</si>
  <si>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</si>
  <si>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</si>
  <si>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</si>
  <si>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</si>
  <si>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</si>
  <si>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</si>
  <si>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</si>
  <si>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rPr>
        <u/>
        <sz val="10"/>
        <color rgb="FF000000"/>
        <rFont val="Arial"/>
        <family val="2"/>
      </rPr>
      <t>"Floating"</t>
    </r>
    <r>
      <rPr>
        <u/>
        <sz val="11"/>
        <color theme="1"/>
        <rFont val="Calibri"/>
        <family val="2"/>
        <scheme val="minor"/>
      </rPr>
      <t xml:space="preserve"> includes loans with with interest rate reset periods exceeding one year (e.g. loan indexed on </t>
    </r>
  </si>
  <si>
    <t>CMS 5Y with an interest rate reset every five years)</t>
  </si>
  <si>
    <r>
      <rPr>
        <u/>
        <sz val="10"/>
        <color rgb="FF000000"/>
        <rFont val="Arial"/>
        <family val="2"/>
      </rPr>
      <t>"Mixed"</t>
    </r>
    <r>
      <rPr>
        <u/>
        <sz val="10"/>
        <color rgb="FF00000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</si>
  <si>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</si>
  <si>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</si>
  <si>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</si>
  <si>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</si>
  <si>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</si>
  <si>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</si>
  <si>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</si>
  <si>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</si>
  <si>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</si>
  <si>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</si>
  <si>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</si>
  <si>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</si>
  <si>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</si>
  <si>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</si>
  <si>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</si>
  <si>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</si>
  <si>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9695005MSX1OYEMGDF46</t>
  </si>
  <si>
    <t>E.1.1.2</t>
  </si>
  <si>
    <t>CEP/BPR</t>
  </si>
  <si>
    <t>E.1.1.3</t>
  </si>
  <si>
    <t>Back-up servicer</t>
  </si>
  <si>
    <t>E.1.1.4</t>
  </si>
  <si>
    <t>BUS facilitator</t>
  </si>
  <si>
    <t xml:space="preserve">969500T1UBNNTYVWOS04 </t>
  </si>
  <si>
    <t>E.1.1.5</t>
  </si>
  <si>
    <t xml:space="preserve">Cash manager </t>
  </si>
  <si>
    <t>E.1.1.6</t>
  </si>
  <si>
    <t>Back-up cash manager</t>
  </si>
  <si>
    <t>E.1.1.7</t>
  </si>
  <si>
    <t>Account bank</t>
  </si>
  <si>
    <t>NATIXIS</t>
  </si>
  <si>
    <t>KX1WK48MPD4Y2NCUIZ63</t>
  </si>
  <si>
    <t>E.1.1.8</t>
  </si>
  <si>
    <t>Standby account bank</t>
  </si>
  <si>
    <t>E.1.1.9</t>
  </si>
  <si>
    <t>Account bank guarantor</t>
  </si>
  <si>
    <t>E.1.1.10</t>
  </si>
  <si>
    <t>Trustee</t>
  </si>
  <si>
    <t>E.1.1.11</t>
  </si>
  <si>
    <t>Cover Pool Monitor</t>
  </si>
  <si>
    <t>Specific Controler</t>
  </si>
  <si>
    <t>OE.1.1.1</t>
  </si>
  <si>
    <t>where applicable - paying agent</t>
  </si>
  <si>
    <t>OE.1.1.2</t>
  </si>
  <si>
    <t>OE.1.1.3</t>
  </si>
  <si>
    <t>OE.1.1.4</t>
  </si>
  <si>
    <t>OE.1.1.5</t>
  </si>
  <si>
    <t>OE.1.1.6</t>
  </si>
  <si>
    <t>OE.1.1.7</t>
  </si>
  <si>
    <t>OE.1.1.8</t>
  </si>
  <si>
    <t>Swap Counterparties</t>
  </si>
  <si>
    <t>Guarantor (if applicable)</t>
  </si>
  <si>
    <t>Type of Swap</t>
  </si>
  <si>
    <t>E.2.1.1</t>
  </si>
  <si>
    <t>Example Bank</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</si>
  <si>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</si>
  <si>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</si>
  <si>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</si>
  <si>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</si>
  <si>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</si>
  <si>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</si>
  <si>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</si>
  <si>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</si>
  <si>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</si>
  <si>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</si>
  <si>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</si>
  <si>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</si>
  <si>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</si>
  <si>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</si>
  <si>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</si>
  <si>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</si>
  <si>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</si>
  <si>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</si>
  <si>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</si>
  <si>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</si>
  <si>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</si>
  <si>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</si>
  <si>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</si>
  <si>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</si>
  <si>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</si>
  <si>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</si>
  <si>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</si>
  <si>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</si>
  <si>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</si>
  <si>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</si>
  <si>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</si>
  <si>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</si>
  <si>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</si>
  <si>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</si>
  <si>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</si>
  <si>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</si>
  <si>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</si>
  <si>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</si>
  <si>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</si>
  <si>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</si>
  <si>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</si>
  <si>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</si>
  <si>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</si>
  <si>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</si>
  <si>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</si>
  <si>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</si>
  <si>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</si>
  <si>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</si>
  <si>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</si>
  <si>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</si>
  <si>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</si>
  <si>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</si>
  <si>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</si>
  <si>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</si>
  <si>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</si>
  <si>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</si>
  <si>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</si>
  <si>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</si>
  <si>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</si>
  <si>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</si>
  <si>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</si>
  <si>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</si>
  <si>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</si>
  <si>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</si>
  <si>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</si>
  <si>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</si>
  <si>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</si>
  <si>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</si>
  <si>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</si>
  <si>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</si>
  <si>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</si>
  <si>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</si>
  <si>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</si>
  <si>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</si>
  <si>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</si>
  <si>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</si>
  <si>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</si>
  <si>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</si>
  <si>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</si>
  <si>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</si>
  <si>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</si>
  <si>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</si>
  <si>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</si>
  <si>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</si>
  <si>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</si>
  <si>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</si>
  <si>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</si>
  <si>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</si>
  <si>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</si>
  <si>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</si>
  <si>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</si>
  <si>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</si>
  <si>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</si>
  <si>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</si>
  <si>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</si>
  <si>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</si>
  <si>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</si>
  <si>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</si>
  <si>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</si>
  <si>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</si>
  <si>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</si>
  <si>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</si>
  <si>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</si>
  <si>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</si>
  <si>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</si>
  <si>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</si>
  <si>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</si>
  <si>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</si>
  <si>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</si>
  <si>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</si>
  <si>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</si>
  <si>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</si>
  <si>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</si>
  <si>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</si>
  <si>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</si>
  <si>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</si>
  <si>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</si>
  <si>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</si>
  <si>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</si>
  <si>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</si>
  <si>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</si>
  <si>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</si>
  <si>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</si>
  <si>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</si>
  <si>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</si>
  <si>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</si>
  <si>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</si>
  <si>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</si>
  <si>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</si>
  <si>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</si>
  <si>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</si>
  <si>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</si>
  <si>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</si>
  <si>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</si>
  <si>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</si>
  <si>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</si>
  <si>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</si>
  <si>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</si>
  <si>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</si>
  <si>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</si>
  <si>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</si>
  <si>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</si>
  <si>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</si>
  <si>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</si>
  <si>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</si>
  <si>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</si>
  <si>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</si>
  <si>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</si>
  <si>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</si>
  <si>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</si>
  <si>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</si>
  <si>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</si>
  <si>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</si>
  <si>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</si>
  <si>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</si>
  <si>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</si>
  <si>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</si>
  <si>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</si>
  <si>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</si>
  <si>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</si>
  <si>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</si>
  <si>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</si>
  <si>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</si>
  <si>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</si>
  <si>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</si>
  <si>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</si>
  <si>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</si>
  <si>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</si>
  <si>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</si>
  <si>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</si>
  <si>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</si>
  <si>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</si>
  <si>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</si>
  <si>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</si>
  <si>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</si>
  <si>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</si>
  <si>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</si>
  <si>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</si>
  <si>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</si>
  <si>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</si>
  <si>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</si>
  <si>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</si>
  <si>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</si>
  <si>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</si>
  <si>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</si>
  <si>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</si>
  <si>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</si>
  <si>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</si>
  <si>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</si>
  <si>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</si>
  <si>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</si>
  <si>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</si>
  <si>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</si>
  <si>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</si>
  <si>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</si>
  <si>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</si>
  <si>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</si>
  <si>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</si>
  <si>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</si>
  <si>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</si>
  <si>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</si>
  <si>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</si>
  <si>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</si>
  <si>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</si>
  <si>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</si>
  <si>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</si>
  <si>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</si>
  <si>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</si>
  <si>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</si>
  <si>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</si>
  <si>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</si>
  <si>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</si>
  <si>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</si>
  <si>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</si>
  <si>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</si>
  <si>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</si>
  <si>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</si>
  <si>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</si>
  <si>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</si>
  <si>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</si>
  <si>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</si>
  <si>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</si>
  <si>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</si>
  <si>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</si>
  <si>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</si>
  <si>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</si>
  <si>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</si>
  <si>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</si>
  <si>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</si>
  <si>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</si>
  <si>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</si>
  <si>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</si>
  <si>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</si>
  <si>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</si>
  <si>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</si>
  <si>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</si>
  <si>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</si>
  <si>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</si>
  <si>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</si>
  <si>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</si>
  <si>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</si>
  <si>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</si>
  <si>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</si>
  <si>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</si>
  <si>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</si>
  <si>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</si>
  <si>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</si>
  <si>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</si>
  <si>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</si>
  <si>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</si>
  <si>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</si>
  <si>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</si>
  <si>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</si>
  <si>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</si>
  <si>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</si>
  <si>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</si>
  <si>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</si>
  <si>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</si>
  <si>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</si>
  <si>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</si>
  <si>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</si>
  <si>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</si>
  <si>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</si>
  <si>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</si>
  <si>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</si>
  <si>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</si>
  <si>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</si>
  <si>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</si>
  <si>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</si>
  <si>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</si>
  <si>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</si>
  <si>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</si>
  <si>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</si>
  <si>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</si>
  <si>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</si>
  <si>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</si>
  <si>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</si>
  <si>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</si>
  <si>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</si>
  <si>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</si>
  <si>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</si>
  <si>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</si>
  <si>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</si>
  <si>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</si>
  <si>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</si>
  <si>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</si>
  <si>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</si>
  <si>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</si>
  <si>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</si>
  <si>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</si>
  <si>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</si>
  <si>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</si>
  <si>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</si>
  <si>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</si>
  <si>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</si>
  <si>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</si>
  <si>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</si>
  <si>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</si>
  <si>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</si>
  <si>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</si>
  <si>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</si>
  <si>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</si>
  <si>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</si>
  <si>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</si>
  <si>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</si>
  <si>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</si>
  <si>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</si>
  <si>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</si>
  <si>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</si>
  <si>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</si>
  <si>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</si>
  <si>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</si>
  <si>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</si>
  <si>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</si>
  <si>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</si>
  <si>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</si>
  <si>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</si>
  <si>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</si>
  <si>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</si>
  <si>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</si>
  <si>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</si>
  <si>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</si>
  <si>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</si>
  <si>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</si>
  <si>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</si>
  <si>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</si>
  <si>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</si>
  <si>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</si>
  <si>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</si>
  <si>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</si>
  <si>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</si>
  <si>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</si>
  <si>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</si>
  <si>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</si>
  <si>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</si>
  <si>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</si>
  <si>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</si>
  <si>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</si>
  <si>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</si>
  <si>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</si>
  <si>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</si>
  <si>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</si>
  <si>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</si>
  <si>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</si>
  <si>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</si>
  <si>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</si>
  <si>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</si>
  <si>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</si>
  <si>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</si>
  <si>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</si>
  <si>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</si>
  <si>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</si>
  <si>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</si>
  <si>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</si>
  <si>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</si>
  <si>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</si>
  <si>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</si>
  <si>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</si>
  <si>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</si>
  <si>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</si>
  <si>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</si>
  <si>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</si>
  <si>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</si>
  <si>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</si>
  <si>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</si>
  <si>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</si>
  <si>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</si>
  <si>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</si>
  <si>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</si>
  <si>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</si>
  <si>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</si>
  <si>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</si>
  <si>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</si>
  <si>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</si>
  <si>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</si>
  <si>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</si>
  <si>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</si>
  <si>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</si>
  <si>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</si>
  <si>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</si>
  <si>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</si>
  <si>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</si>
  <si>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</si>
  <si>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</si>
  <si>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</si>
  <si>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</si>
  <si>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</si>
  <si>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</si>
  <si>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</si>
  <si>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</si>
  <si>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</si>
  <si>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</si>
  <si>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</si>
  <si>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</si>
  <si>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</si>
  <si>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</si>
  <si>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</si>
  <si>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</si>
  <si>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</si>
  <si>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</si>
  <si>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</si>
  <si>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</si>
  <si>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</si>
  <si>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</si>
  <si>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</si>
  <si>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</si>
  <si>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</si>
  <si>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</si>
  <si>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</si>
  <si>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</si>
  <si>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</si>
  <si>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</si>
  <si>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</si>
  <si>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</si>
  <si>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</si>
  <si>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</si>
  <si>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</si>
  <si>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</si>
  <si>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</si>
  <si>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</si>
  <si>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</si>
  <si>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</si>
  <si>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</si>
  <si>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</si>
  <si>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</si>
  <si>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</si>
  <si>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</si>
  <si>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</si>
  <si>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</si>
  <si>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</si>
  <si>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</si>
  <si>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</si>
  <si>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</si>
  <si>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</si>
  <si>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</si>
  <si>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</si>
  <si>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</si>
  <si>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</si>
  <si>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</si>
  <si>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</si>
  <si>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</si>
  <si>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</si>
  <si>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</si>
  <si>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</si>
  <si>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</si>
  <si>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</si>
  <si>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</si>
  <si>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</si>
  <si>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</si>
  <si>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</si>
  <si>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</si>
  <si>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</si>
  <si>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</si>
  <si>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</si>
  <si>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</si>
  <si>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</si>
  <si>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</si>
  <si>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</si>
  <si>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</si>
  <si>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</si>
  <si>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</si>
  <si>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</si>
  <si>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</si>
  <si>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</si>
  <si>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</si>
  <si>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</si>
  <si>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</si>
  <si>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</si>
  <si>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</si>
  <si>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</si>
  <si>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</si>
  <si>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</si>
  <si>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</si>
  <si>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</si>
  <si>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</si>
  <si>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</si>
  <si>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</si>
  <si>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 xml:space="preserve">20. CO2 emission (kg of CO2 per year) - optional </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</si>
  <si>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</si>
  <si>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</si>
  <si>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</si>
  <si>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</si>
  <si>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</si>
  <si>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</si>
  <si>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</si>
  <si>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</si>
  <si>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</si>
  <si>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</si>
  <si>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</si>
  <si>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</si>
  <si>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</si>
  <si>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</si>
  <si>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</si>
  <si>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</si>
  <si>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</si>
  <si>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</si>
  <si>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</si>
  <si>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</si>
  <si>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</si>
  <si>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</si>
  <si>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</si>
  <si>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</si>
  <si>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</si>
  <si>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</si>
  <si>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</si>
  <si>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</si>
  <si>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</si>
  <si>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</si>
  <si>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</si>
  <si>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</si>
  <si>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</si>
  <si>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</si>
  <si>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</si>
  <si>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</si>
  <si>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</si>
  <si>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</si>
  <si>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</si>
  <si>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</si>
  <si>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</si>
  <si>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</si>
  <si>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</si>
  <si>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</si>
  <si>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</si>
  <si>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</si>
  <si>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</si>
  <si>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</si>
  <si>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</si>
  <si>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</si>
  <si>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</si>
  <si>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</si>
  <si>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</si>
  <si>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</si>
  <si>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</si>
  <si>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</si>
  <si>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</si>
  <si>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</si>
  <si>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</si>
  <si>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</si>
  <si>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</si>
  <si>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</si>
  <si>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</si>
  <si>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</si>
  <si>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</si>
  <si>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</si>
  <si>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</si>
  <si>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</si>
  <si>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</si>
  <si>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</si>
  <si>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</si>
  <si>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</si>
  <si>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</si>
  <si>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</si>
  <si>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</si>
  <si>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</si>
  <si>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</si>
  <si>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</si>
  <si>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</si>
  <si>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</si>
  <si>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</si>
  <si>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</si>
  <si>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</si>
  <si>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</si>
  <si>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</si>
  <si>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</si>
  <si>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</si>
  <si>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</si>
  <si>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</si>
  <si>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</si>
  <si>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</si>
  <si>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</si>
  <si>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</si>
  <si>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</si>
  <si>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</si>
  <si>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[Mark as ND1 if not relevant]</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</si>
  <si>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</si>
  <si>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</si>
  <si>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</si>
  <si>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</si>
  <si>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</si>
  <si>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</si>
  <si>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</si>
  <si>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</si>
  <si>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</si>
  <si>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</si>
  <si>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</si>
  <si>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</si>
  <si>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</si>
  <si>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</si>
  <si>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</si>
  <si>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</si>
  <si>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</si>
  <si>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</si>
  <si>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</si>
  <si>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</si>
  <si>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</si>
  <si>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</si>
  <si>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</si>
  <si>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</si>
  <si>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</si>
  <si>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</si>
  <si>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</si>
  <si>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</si>
  <si>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</si>
  <si>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</si>
  <si>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</si>
  <si>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</si>
  <si>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</si>
  <si>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</si>
  <si>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</si>
  <si>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</si>
  <si>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</si>
  <si>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</si>
  <si>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</si>
  <si>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</si>
  <si>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</si>
  <si>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</si>
  <si>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</si>
  <si>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</si>
  <si>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</si>
  <si>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</si>
  <si>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</si>
  <si>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</si>
  <si>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</si>
  <si>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</si>
  <si>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</si>
  <si>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</si>
  <si>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</si>
  <si>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</si>
  <si>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</si>
  <si>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</si>
  <si>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</si>
  <si>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</si>
  <si>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</si>
  <si>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</si>
  <si>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</si>
  <si>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</si>
  <si>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</si>
  <si>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</si>
  <si>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</si>
  <si>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</si>
  <si>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</si>
  <si>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</si>
  <si>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</si>
  <si>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</si>
  <si>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</si>
  <si>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</si>
  <si>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</si>
  <si>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</si>
  <si>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</si>
  <si>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</si>
  <si>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</si>
  <si>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</si>
  <si>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</si>
  <si>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</si>
  <si>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</si>
  <si>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</si>
  <si>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</si>
  <si>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</si>
  <si>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</si>
  <si>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</si>
  <si>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</si>
  <si>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</si>
  <si>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</si>
  <si>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</si>
  <si>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</si>
  <si>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</si>
  <si>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</si>
  <si>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</si>
  <si>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</si>
  <si>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</si>
  <si>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</si>
  <si>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</si>
  <si>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</si>
  <si>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</si>
  <si>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</si>
  <si>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</si>
  <si>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</si>
  <si>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</si>
  <si>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</si>
  <si>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</si>
  <si>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</si>
  <si>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</si>
  <si>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</si>
  <si>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</si>
  <si>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</si>
  <si>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</si>
  <si>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</si>
  <si>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</si>
  <si>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</si>
  <si>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</si>
  <si>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</si>
  <si>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</si>
  <si>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</si>
  <si>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</si>
  <si>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</si>
  <si>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</si>
  <si>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</si>
  <si>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</si>
  <si>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</si>
  <si>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</si>
  <si>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</si>
  <si>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</si>
  <si>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</si>
  <si>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</si>
  <si>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</si>
  <si>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</si>
  <si>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</si>
  <si>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</si>
  <si>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</si>
  <si>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</si>
  <si>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</si>
  <si>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</si>
  <si>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Date du reporting</t>
  </si>
  <si>
    <t>PASSIF GLOBAL 
(Fixe &amp; Variable)</t>
  </si>
  <si>
    <t>Outstanding principal</t>
  </si>
  <si>
    <t>Principal Paid</t>
  </si>
  <si>
    <t>Interest Paid</t>
  </si>
  <si>
    <t>O</t>
  </si>
  <si>
    <t>P</t>
  </si>
  <si>
    <t>I</t>
  </si>
  <si>
    <t>Date n</t>
  </si>
  <si>
    <t>Date n+1</t>
  </si>
  <si>
    <t>Date n+2</t>
  </si>
  <si>
    <t>Date n+3</t>
  </si>
  <si>
    <t>Date n+4</t>
  </si>
  <si>
    <t>Date n+5</t>
  </si>
  <si>
    <t>Date n+6</t>
  </si>
  <si>
    <t>Date n+7</t>
  </si>
  <si>
    <t>Date n+8</t>
  </si>
  <si>
    <t>Date n+9</t>
  </si>
  <si>
    <t>Date n+10</t>
  </si>
  <si>
    <t>Date n+11</t>
  </si>
  <si>
    <t>Date n+12</t>
  </si>
  <si>
    <t>Date n+13</t>
  </si>
  <si>
    <t>Date n+14</t>
  </si>
  <si>
    <t>Date n+15</t>
  </si>
  <si>
    <t>Date n+16</t>
  </si>
  <si>
    <t>Date n+17</t>
  </si>
  <si>
    <t>Date n+18</t>
  </si>
  <si>
    <t>Date n+19</t>
  </si>
  <si>
    <t>Date n+20</t>
  </si>
  <si>
    <t>Date n+21</t>
  </si>
  <si>
    <t>Date n+22</t>
  </si>
  <si>
    <t>Date n+23</t>
  </si>
  <si>
    <t>Date n+24</t>
  </si>
  <si>
    <t>Date n+25</t>
  </si>
  <si>
    <t>Date n+26</t>
  </si>
  <si>
    <t>Date n+27</t>
  </si>
  <si>
    <t>Date n+28</t>
  </si>
  <si>
    <t>Date n+29</t>
  </si>
  <si>
    <t>Date n+30</t>
  </si>
  <si>
    <t>Date n+31</t>
  </si>
  <si>
    <t>Date n+32</t>
  </si>
  <si>
    <t>Date n+33</t>
  </si>
  <si>
    <t>Date n+34</t>
  </si>
  <si>
    <t>Date n+35</t>
  </si>
  <si>
    <t>Date n+36</t>
  </si>
  <si>
    <t>Date n+37</t>
  </si>
  <si>
    <t>Date n+38</t>
  </si>
  <si>
    <t>Date n+39</t>
  </si>
  <si>
    <t>Date n+40</t>
  </si>
  <si>
    <t>Date n+41</t>
  </si>
  <si>
    <t>Date n+42</t>
  </si>
  <si>
    <t>Date n+43</t>
  </si>
  <si>
    <t>Date n+44</t>
  </si>
  <si>
    <t>Date n+45</t>
  </si>
  <si>
    <t>Date n+46</t>
  </si>
  <si>
    <t>Date n+47</t>
  </si>
  <si>
    <t>Date n+48</t>
  </si>
  <si>
    <t>Date n+49</t>
  </si>
  <si>
    <t>Date n+50</t>
  </si>
  <si>
    <t>Date n+51</t>
  </si>
  <si>
    <t>Date n+52</t>
  </si>
  <si>
    <t>Date n+53</t>
  </si>
  <si>
    <t>Date n+54</t>
  </si>
  <si>
    <t>Date n+55</t>
  </si>
  <si>
    <t>Date n+56</t>
  </si>
  <si>
    <t>Date n+57</t>
  </si>
  <si>
    <t>Date n+58</t>
  </si>
  <si>
    <t>Date n+59</t>
  </si>
  <si>
    <t>Date n+60</t>
  </si>
  <si>
    <t>Date n+61</t>
  </si>
  <si>
    <t>Date n+62</t>
  </si>
  <si>
    <t>Date n+63</t>
  </si>
  <si>
    <t>Date n+64</t>
  </si>
  <si>
    <t>Date n+65</t>
  </si>
  <si>
    <t>Date n+66</t>
  </si>
  <si>
    <t>Date n+67</t>
  </si>
  <si>
    <t>Date n+68</t>
  </si>
  <si>
    <t>Date n+69</t>
  </si>
  <si>
    <t>Date n+70</t>
  </si>
  <si>
    <t>Date n+71</t>
  </si>
  <si>
    <t>Date n+72</t>
  </si>
  <si>
    <t>Date n+73</t>
  </si>
  <si>
    <t>Date n+74</t>
  </si>
  <si>
    <t>Date n+75</t>
  </si>
  <si>
    <t>Date n+76</t>
  </si>
  <si>
    <t>Date n+77</t>
  </si>
  <si>
    <t>Date n+78</t>
  </si>
  <si>
    <t>Date n+79</t>
  </si>
  <si>
    <t>Date n+80</t>
  </si>
  <si>
    <t>Date n+81</t>
  </si>
  <si>
    <t>Date n+82</t>
  </si>
  <si>
    <t>Date n+83</t>
  </si>
  <si>
    <t>Date n+84</t>
  </si>
  <si>
    <t>Date n+85</t>
  </si>
  <si>
    <t>Date n+86</t>
  </si>
  <si>
    <t>Date n+87</t>
  </si>
  <si>
    <t>Date n+88</t>
  </si>
  <si>
    <t>Date n+89</t>
  </si>
  <si>
    <t>Date n+90</t>
  </si>
  <si>
    <t>Date n+91</t>
  </si>
  <si>
    <t>Date n+92</t>
  </si>
  <si>
    <t>Date n+93</t>
  </si>
  <si>
    <t>Date n+94</t>
  </si>
  <si>
    <t>Date n+95</t>
  </si>
  <si>
    <t>Date n+96</t>
  </si>
  <si>
    <t>Date n+97</t>
  </si>
  <si>
    <t>Date n+98</t>
  </si>
  <si>
    <t>Date n+99</t>
  </si>
  <si>
    <t>Date n+100</t>
  </si>
  <si>
    <t>Date n+101</t>
  </si>
  <si>
    <t>Date n+102</t>
  </si>
  <si>
    <t>Date n+103</t>
  </si>
  <si>
    <t>Date n+104</t>
  </si>
  <si>
    <t>Date n+105</t>
  </si>
  <si>
    <t>Date n+106</t>
  </si>
  <si>
    <t>Date n+107</t>
  </si>
  <si>
    <t>Date n+108</t>
  </si>
  <si>
    <t>Date n+109</t>
  </si>
  <si>
    <t>Date n+110</t>
  </si>
  <si>
    <t>Date n+111</t>
  </si>
  <si>
    <t>Date n+112</t>
  </si>
  <si>
    <t>Date n+113</t>
  </si>
  <si>
    <t>Date n+114</t>
  </si>
  <si>
    <t>Date n+115</t>
  </si>
  <si>
    <t>Date n+116</t>
  </si>
  <si>
    <t>Date n+117</t>
  </si>
  <si>
    <t>Date n+118</t>
  </si>
  <si>
    <t>Date n+119</t>
  </si>
  <si>
    <t>Date n+120</t>
  </si>
  <si>
    <t>Date n+121</t>
  </si>
  <si>
    <t>Date n+122</t>
  </si>
  <si>
    <t>Date n+123</t>
  </si>
  <si>
    <t>Date n+124</t>
  </si>
  <si>
    <t>Date n+125</t>
  </si>
  <si>
    <t>Date n+126</t>
  </si>
  <si>
    <t>Date n+127</t>
  </si>
  <si>
    <t>Date n+128</t>
  </si>
  <si>
    <t>Date n+129</t>
  </si>
  <si>
    <t>Date n+130</t>
  </si>
  <si>
    <t>Date n+131</t>
  </si>
  <si>
    <t>Date n+132</t>
  </si>
  <si>
    <t>Date n+133</t>
  </si>
  <si>
    <t>Date n+134</t>
  </si>
  <si>
    <t>Date n+135</t>
  </si>
  <si>
    <t>Date n+136</t>
  </si>
  <si>
    <t>Date n+137</t>
  </si>
  <si>
    <t>Date n+138</t>
  </si>
  <si>
    <t>Date n+139</t>
  </si>
  <si>
    <t>Date n+140</t>
  </si>
  <si>
    <t>Date n+141</t>
  </si>
  <si>
    <t>Date n+142</t>
  </si>
  <si>
    <t>Date n+143</t>
  </si>
  <si>
    <t>Date n+144</t>
  </si>
  <si>
    <t>Date n+145</t>
  </si>
  <si>
    <t>Date n+146</t>
  </si>
  <si>
    <t>Date n+147</t>
  </si>
  <si>
    <t>Date n+148</t>
  </si>
  <si>
    <t>Date n+149</t>
  </si>
  <si>
    <t>Date n+150</t>
  </si>
  <si>
    <t>Date n+151</t>
  </si>
  <si>
    <t>Date n+152</t>
  </si>
  <si>
    <t>Date n+153</t>
  </si>
  <si>
    <t>Date n+154</t>
  </si>
  <si>
    <t>Date n+155</t>
  </si>
  <si>
    <t>Date n+156</t>
  </si>
  <si>
    <t>Date n+157</t>
  </si>
  <si>
    <t>Date n+158</t>
  </si>
  <si>
    <t>Date n+159</t>
  </si>
  <si>
    <t>Date n+160</t>
  </si>
  <si>
    <t>Date n+161</t>
  </si>
  <si>
    <t>Date n+162</t>
  </si>
  <si>
    <t>Date n+163</t>
  </si>
  <si>
    <t>Date n+164</t>
  </si>
  <si>
    <t>Date n+165</t>
  </si>
  <si>
    <t>Date n+166</t>
  </si>
  <si>
    <t>Date n+167</t>
  </si>
  <si>
    <t>Date n+168</t>
  </si>
  <si>
    <t>Date n+169</t>
  </si>
  <si>
    <t>Date n+170</t>
  </si>
  <si>
    <t>Date n+171</t>
  </si>
  <si>
    <t>Date n+172</t>
  </si>
  <si>
    <t>Date n+173</t>
  </si>
  <si>
    <t>Date n+174</t>
  </si>
  <si>
    <t>Date n+175</t>
  </si>
  <si>
    <t>Date n+176</t>
  </si>
  <si>
    <t>Date n+177</t>
  </si>
  <si>
    <t>Date n+178</t>
  </si>
  <si>
    <t>Date n+179</t>
  </si>
  <si>
    <t>Date n+180</t>
  </si>
  <si>
    <t>Date n+181</t>
  </si>
  <si>
    <t>Date n+182</t>
  </si>
  <si>
    <t>Date n+183</t>
  </si>
  <si>
    <t>Date n+184</t>
  </si>
  <si>
    <t>Date n+185</t>
  </si>
  <si>
    <t>Date n+186</t>
  </si>
  <si>
    <t>Date n+187</t>
  </si>
  <si>
    <t>Date n+188</t>
  </si>
  <si>
    <t>Date n+189</t>
  </si>
  <si>
    <t>Date n+190</t>
  </si>
  <si>
    <t>Date n+191</t>
  </si>
  <si>
    <t>Date n+192</t>
  </si>
  <si>
    <t>Date n+193</t>
  </si>
  <si>
    <t>Date n+194</t>
  </si>
  <si>
    <t>Date n+195</t>
  </si>
  <si>
    <t>Date n+196</t>
  </si>
  <si>
    <t>Date n+197</t>
  </si>
  <si>
    <t>Date n+198</t>
  </si>
  <si>
    <t>Date n+199</t>
  </si>
  <si>
    <t>Date n+200</t>
  </si>
  <si>
    <t>Date n+201</t>
  </si>
  <si>
    <t>Date n+202</t>
  </si>
  <si>
    <t>Date n+203</t>
  </si>
  <si>
    <t>Date n+204</t>
  </si>
  <si>
    <t>Date n+205</t>
  </si>
  <si>
    <t>Date n+206</t>
  </si>
  <si>
    <t>Date n+207</t>
  </si>
  <si>
    <t>Date n+208</t>
  </si>
  <si>
    <t>Date n+209</t>
  </si>
  <si>
    <t>Date n+210</t>
  </si>
  <si>
    <t>Date n+211</t>
  </si>
  <si>
    <t>Date n+212</t>
  </si>
  <si>
    <t>Date n+213</t>
  </si>
  <si>
    <t>Date n+214</t>
  </si>
  <si>
    <t>Date n+215</t>
  </si>
  <si>
    <t>Date n+216</t>
  </si>
  <si>
    <t>Date n+217</t>
  </si>
  <si>
    <t>Date n+218</t>
  </si>
  <si>
    <t>Date n+219</t>
  </si>
  <si>
    <t>Date n+220</t>
  </si>
  <si>
    <t>Date n+221</t>
  </si>
  <si>
    <t>Date n+222</t>
  </si>
  <si>
    <t>Date n+223</t>
  </si>
  <si>
    <t>Date n+224</t>
  </si>
  <si>
    <t>Date n+225</t>
  </si>
  <si>
    <t>Date n+226</t>
  </si>
  <si>
    <t>Date n+227</t>
  </si>
  <si>
    <t>Date n+228</t>
  </si>
  <si>
    <t>Date n+229</t>
  </si>
  <si>
    <t>Date n+230</t>
  </si>
  <si>
    <t>Date n+231</t>
  </si>
  <si>
    <t>Date n+232</t>
  </si>
  <si>
    <t>Date n+233</t>
  </si>
  <si>
    <t>Date n+234</t>
  </si>
  <si>
    <t>Date n+235</t>
  </si>
  <si>
    <t>Date n+236</t>
  </si>
  <si>
    <t>Date n+237</t>
  </si>
  <si>
    <t>Date n+238</t>
  </si>
  <si>
    <t>Date n+239</t>
  </si>
  <si>
    <t>Date n+240</t>
  </si>
  <si>
    <t>Date n+241</t>
  </si>
  <si>
    <t>Date n+242</t>
  </si>
  <si>
    <t>Date n+243</t>
  </si>
  <si>
    <t>Date n+244</t>
  </si>
  <si>
    <t>Date n+245</t>
  </si>
  <si>
    <t>Date n+246</t>
  </si>
  <si>
    <t>Date n+247</t>
  </si>
  <si>
    <t>Date n+248</t>
  </si>
  <si>
    <t>Date n+249</t>
  </si>
  <si>
    <t>Date n+250</t>
  </si>
  <si>
    <t>Date n+251</t>
  </si>
  <si>
    <t>Date n+252</t>
  </si>
  <si>
    <t>Date n+253</t>
  </si>
  <si>
    <t>Date n+254</t>
  </si>
  <si>
    <t>Date n+255</t>
  </si>
  <si>
    <t>Date n+256</t>
  </si>
  <si>
    <t>Date n+257</t>
  </si>
  <si>
    <t>Date n+258</t>
  </si>
  <si>
    <t>Date n+259</t>
  </si>
  <si>
    <t>Date n+260</t>
  </si>
  <si>
    <t>Date n+261</t>
  </si>
  <si>
    <t>Date n+262</t>
  </si>
  <si>
    <t>Date n+263</t>
  </si>
  <si>
    <t>Date n+264</t>
  </si>
  <si>
    <t>Date n+265</t>
  </si>
  <si>
    <t>Date n+266</t>
  </si>
  <si>
    <t>Date n+267</t>
  </si>
  <si>
    <t>Date n+268</t>
  </si>
  <si>
    <t>Date n+269</t>
  </si>
  <si>
    <t>Date n+270</t>
  </si>
  <si>
    <t>Date n+271</t>
  </si>
  <si>
    <t>Date n+272</t>
  </si>
  <si>
    <t>Date n+273</t>
  </si>
  <si>
    <t>Date n+274</t>
  </si>
  <si>
    <t>Date n+275</t>
  </si>
  <si>
    <t>Date n+276</t>
  </si>
  <si>
    <t>Date n+277</t>
  </si>
  <si>
    <t>Date n+278</t>
  </si>
  <si>
    <t>Date n+279</t>
  </si>
  <si>
    <t>Date n+280</t>
  </si>
  <si>
    <t>Date n+281</t>
  </si>
  <si>
    <t>Date n+282</t>
  </si>
  <si>
    <t>Date n+283</t>
  </si>
  <si>
    <t>Date n+284</t>
  </si>
  <si>
    <t>Date n+285</t>
  </si>
  <si>
    <t>Date n+286</t>
  </si>
  <si>
    <t>Date n+287</t>
  </si>
  <si>
    <t>Date n+288</t>
  </si>
  <si>
    <t>Date n+289</t>
  </si>
  <si>
    <t>Date n+290</t>
  </si>
  <si>
    <t>Date n+291</t>
  </si>
  <si>
    <t>Date n+292</t>
  </si>
  <si>
    <t>Date n+293</t>
  </si>
  <si>
    <t>Date n+294</t>
  </si>
  <si>
    <t>Date n+295</t>
  </si>
  <si>
    <t>Date n+296</t>
  </si>
  <si>
    <t>Date n+297</t>
  </si>
  <si>
    <t>Date n+298</t>
  </si>
  <si>
    <t>Date n+299</t>
  </si>
  <si>
    <t>Date n+300</t>
  </si>
  <si>
    <t>Date n+301</t>
  </si>
  <si>
    <t>Date n+302</t>
  </si>
  <si>
    <t>Date n+303</t>
  </si>
  <si>
    <t>Date n+304</t>
  </si>
  <si>
    <t>Date n+305</t>
  </si>
  <si>
    <t>Date n+306</t>
  </si>
  <si>
    <t>Date n+307</t>
  </si>
  <si>
    <t>Date n+308</t>
  </si>
  <si>
    <t>Date n+309</t>
  </si>
  <si>
    <t>Date n+310</t>
  </si>
  <si>
    <t>Date n+311</t>
  </si>
  <si>
    <t>Date n+312</t>
  </si>
  <si>
    <t>Date n+313</t>
  </si>
  <si>
    <t>Date n+314</t>
  </si>
  <si>
    <t>Date n+315</t>
  </si>
  <si>
    <t>Date n+316</t>
  </si>
  <si>
    <t>Date n+317</t>
  </si>
  <si>
    <t>Date n+318</t>
  </si>
  <si>
    <t>Date n+319</t>
  </si>
  <si>
    <t>Date n+320</t>
  </si>
  <si>
    <t>Date n+321</t>
  </si>
  <si>
    <t>Date n+322</t>
  </si>
  <si>
    <t>Date n+323</t>
  </si>
  <si>
    <t>Date n+324</t>
  </si>
  <si>
    <t>Date n+325</t>
  </si>
  <si>
    <t>Date n+326</t>
  </si>
  <si>
    <t>Date n+327</t>
  </si>
  <si>
    <t>Date n+328</t>
  </si>
  <si>
    <t>Date n+329</t>
  </si>
  <si>
    <t>Date n+330</t>
  </si>
  <si>
    <t>Date n+331</t>
  </si>
  <si>
    <t>Date n+332</t>
  </si>
  <si>
    <t>Date n+333</t>
  </si>
  <si>
    <t>Date n+334</t>
  </si>
  <si>
    <t>Date n+335</t>
  </si>
  <si>
    <t>Date n+336</t>
  </si>
  <si>
    <t>Date n+337</t>
  </si>
  <si>
    <t>Date n+338</t>
  </si>
  <si>
    <t>Date n+339</t>
  </si>
  <si>
    <t>Date n+340</t>
  </si>
  <si>
    <t>Date n+341</t>
  </si>
  <si>
    <t>Date n+342</t>
  </si>
  <si>
    <t>Date n+343</t>
  </si>
  <si>
    <t>Date n+344</t>
  </si>
  <si>
    <t>Date n+345</t>
  </si>
  <si>
    <t>Date n+346</t>
  </si>
  <si>
    <t>Date n+347</t>
  </si>
  <si>
    <t>Date n+348</t>
  </si>
  <si>
    <t>Date n+349</t>
  </si>
  <si>
    <t>Date n+350</t>
  </si>
  <si>
    <t>Date n+351</t>
  </si>
  <si>
    <t>Date n+352</t>
  </si>
  <si>
    <t>Date n+353</t>
  </si>
  <si>
    <t>Date n+354</t>
  </si>
  <si>
    <t>Date n+355</t>
  </si>
  <si>
    <t>Date n+356</t>
  </si>
  <si>
    <t>Date n+357</t>
  </si>
  <si>
    <t>Date n+358</t>
  </si>
  <si>
    <t>Date n+359</t>
  </si>
  <si>
    <t>Date n+360</t>
  </si>
  <si>
    <t>Date n+361</t>
  </si>
  <si>
    <t>Date n+362</t>
  </si>
  <si>
    <t>Date n+363</t>
  </si>
  <si>
    <t>Date n+364</t>
  </si>
  <si>
    <t>Date n+365</t>
  </si>
  <si>
    <t>Date n+366</t>
  </si>
  <si>
    <t>Date n+367</t>
  </si>
  <si>
    <t>Date n+368</t>
  </si>
  <si>
    <t>Date n+369</t>
  </si>
  <si>
    <t>Date n+370</t>
  </si>
  <si>
    <t>Date n+371</t>
  </si>
  <si>
    <t>Date n+372</t>
  </si>
  <si>
    <t>Date n+373</t>
  </si>
  <si>
    <t>Date n+374</t>
  </si>
  <si>
    <t>Date n+375</t>
  </si>
  <si>
    <t>Date n+376</t>
  </si>
  <si>
    <t>Date n+377</t>
  </si>
  <si>
    <t>Date n+378</t>
  </si>
  <si>
    <t>Date n+379</t>
  </si>
  <si>
    <t>Date n+380</t>
  </si>
  <si>
    <t>Date n+381</t>
  </si>
  <si>
    <t>Date n+382</t>
  </si>
  <si>
    <t>Date n+383</t>
  </si>
  <si>
    <t>Date n+384</t>
  </si>
  <si>
    <t>Date n+385</t>
  </si>
  <si>
    <t>Date n+386</t>
  </si>
  <si>
    <t>Date n+387</t>
  </si>
  <si>
    <t>Date n+388</t>
  </si>
  <si>
    <t>Date n+389</t>
  </si>
  <si>
    <t>Date n+390</t>
  </si>
  <si>
    <t>Date n+391</t>
  </si>
  <si>
    <t>Date n+392</t>
  </si>
  <si>
    <t>Date n+393</t>
  </si>
  <si>
    <t>Date n+394</t>
  </si>
  <si>
    <t>Date n+395</t>
  </si>
  <si>
    <t>Date n+396</t>
  </si>
  <si>
    <t>Date n+397</t>
  </si>
  <si>
    <t>Date n+398</t>
  </si>
  <si>
    <t>Date n+399</t>
  </si>
  <si>
    <t>Date n+400</t>
  </si>
  <si>
    <t>Date n+401</t>
  </si>
  <si>
    <t>Date n+402</t>
  </si>
  <si>
    <t>Date n+403</t>
  </si>
  <si>
    <t>Date n+404</t>
  </si>
  <si>
    <t>Date n+405</t>
  </si>
  <si>
    <t>Date n+406</t>
  </si>
  <si>
    <t>Date n+407</t>
  </si>
  <si>
    <t>Date n+408</t>
  </si>
  <si>
    <t>Date n+409</t>
  </si>
  <si>
    <t>Date n+410</t>
  </si>
  <si>
    <t>Date n+411</t>
  </si>
  <si>
    <t>Date n+412</t>
  </si>
  <si>
    <t>Date n+413</t>
  </si>
  <si>
    <t>Date n+414</t>
  </si>
  <si>
    <t>Date n+415</t>
  </si>
  <si>
    <t>Date n+416</t>
  </si>
  <si>
    <t>Date n+417</t>
  </si>
  <si>
    <t>Date n+418</t>
  </si>
  <si>
    <t>Date n+419</t>
  </si>
  <si>
    <t>Date n+420</t>
  </si>
  <si>
    <t>Date n+421</t>
  </si>
  <si>
    <t>Date n+422</t>
  </si>
  <si>
    <t>Date n+423</t>
  </si>
  <si>
    <t>Date n+424</t>
  </si>
  <si>
    <t>Date n+425</t>
  </si>
  <si>
    <t>Date n+426</t>
  </si>
  <si>
    <t>Date n+427</t>
  </si>
  <si>
    <t>Date n+428</t>
  </si>
  <si>
    <t>Date n+429</t>
  </si>
  <si>
    <t>Date n+430</t>
  </si>
  <si>
    <t>Date n+431</t>
  </si>
  <si>
    <t>Date n+432</t>
  </si>
  <si>
    <t>Date n+433</t>
  </si>
  <si>
    <t>Date n+434</t>
  </si>
  <si>
    <t>Date n+435</t>
  </si>
  <si>
    <t>Date n+436</t>
  </si>
  <si>
    <t>Date n+437</t>
  </si>
  <si>
    <t>Date n+438</t>
  </si>
  <si>
    <t>Date n+439</t>
  </si>
  <si>
    <t>Date n+440</t>
  </si>
  <si>
    <t>Date n+441</t>
  </si>
  <si>
    <t>Date n+442</t>
  </si>
  <si>
    <t>Date n+443</t>
  </si>
  <si>
    <t>Date n+444</t>
  </si>
  <si>
    <t>Date n+445</t>
  </si>
  <si>
    <t>Date n+446</t>
  </si>
  <si>
    <t>Date n+447</t>
  </si>
  <si>
    <t>Date n+448</t>
  </si>
  <si>
    <t>Date n+449</t>
  </si>
  <si>
    <t>Date n+450</t>
  </si>
  <si>
    <t>Date n+451</t>
  </si>
  <si>
    <t>Date n+452</t>
  </si>
  <si>
    <t>Date n+453</t>
  </si>
  <si>
    <t>Date n+454</t>
  </si>
  <si>
    <t>Date n+455</t>
  </si>
  <si>
    <t>Date n+456</t>
  </si>
  <si>
    <t>Date n+457</t>
  </si>
  <si>
    <t>Date n+458</t>
  </si>
  <si>
    <t>Date n+459</t>
  </si>
  <si>
    <t>Date n+460</t>
  </si>
  <si>
    <t>Date n+461</t>
  </si>
  <si>
    <t>Date n+462</t>
  </si>
  <si>
    <t>Date n+463</t>
  </si>
  <si>
    <t>Date n+464</t>
  </si>
  <si>
    <t>Date n+465</t>
  </si>
  <si>
    <t>Date n+466</t>
  </si>
  <si>
    <t>Date n+467</t>
  </si>
  <si>
    <t>Date n+468</t>
  </si>
  <si>
    <t>Date n+469</t>
  </si>
  <si>
    <t>Date n+470</t>
  </si>
  <si>
    <t>Date n+471</t>
  </si>
  <si>
    <t>Date n+472</t>
  </si>
  <si>
    <t>Date n+473</t>
  </si>
  <si>
    <t>Date n+474</t>
  </si>
  <si>
    <t>Date n+475</t>
  </si>
  <si>
    <t>Date n+476</t>
  </si>
  <si>
    <t>Date n+477</t>
  </si>
  <si>
    <t>Date n+478</t>
  </si>
  <si>
    <t>Date n+479</t>
  </si>
  <si>
    <t>Date n+480</t>
  </si>
  <si>
    <t>Date n+481</t>
  </si>
  <si>
    <t>Date n+482</t>
  </si>
  <si>
    <t>Date n+483</t>
  </si>
  <si>
    <t>Date n+484</t>
  </si>
  <si>
    <t>Date n+485</t>
  </si>
  <si>
    <t>Date n+486</t>
  </si>
  <si>
    <t>Date n+487</t>
  </si>
  <si>
    <t>Date n+488</t>
  </si>
  <si>
    <t>Asset Cover Test</t>
  </si>
  <si>
    <t>Date of the Asset Cover Test</t>
  </si>
  <si>
    <t>R</t>
  </si>
  <si>
    <t>Asset Cover Ratio</t>
  </si>
  <si>
    <t>Adjusted Aggregate Asset Amount (AAAA)</t>
  </si>
  <si>
    <t>Aggregate Notes Outstanding Principal Amount</t>
  </si>
  <si>
    <t>ASSET COVER TEST RESULT (PASS/FAIL)</t>
  </si>
  <si>
    <t>A</t>
  </si>
  <si>
    <t>A = min((a);(b))</t>
  </si>
  <si>
    <t>(a)</t>
  </si>
  <si>
    <t>Aggregate Adjusted Home Loan Outstanding Principal Amount</t>
  </si>
  <si>
    <t>(b)</t>
  </si>
  <si>
    <t>(i) * (ii)</t>
  </si>
  <si>
    <t>(i) Aggregate Unajusted Home Loan Outstanding Principal Amount</t>
  </si>
  <si>
    <t>(ii) Asset Percentage</t>
  </si>
  <si>
    <t>SA</t>
  </si>
  <si>
    <r>
      <rPr>
        <sz val="10"/>
        <color rgb="FF000000"/>
        <rFont val="Arial"/>
        <family val="2"/>
      </rPr>
      <t>Substitution Assets</t>
    </r>
    <r>
      <rPr>
        <vertAlign val="superscript"/>
        <sz val="10"/>
        <color rgb="FF000000"/>
        <rFont val="Arial"/>
        <family val="2"/>
      </rPr>
      <t xml:space="preserve"> 1</t>
    </r>
  </si>
  <si>
    <t>PI</t>
  </si>
  <si>
    <r>
      <rPr>
        <sz val="10"/>
        <color rgb="FF000000"/>
        <rFont val="Arial"/>
        <family val="2"/>
      </rPr>
      <t xml:space="preserve">Permitted Investments </t>
    </r>
    <r>
      <rPr>
        <vertAlign val="superscript"/>
        <sz val="10"/>
        <color rgb="FF000000"/>
        <rFont val="Arial"/>
        <family val="2"/>
      </rPr>
      <t>2</t>
    </r>
  </si>
  <si>
    <t>HC</t>
  </si>
  <si>
    <t>Payments due under Issuer Hedging Agreement</t>
  </si>
  <si>
    <t>NC</t>
  </si>
  <si>
    <t>NC = WAM * ACBOPA * CC</t>
  </si>
  <si>
    <t>WAM (Years)</t>
  </si>
  <si>
    <t>Aggregate Covered Bond Outstanding Principal Amount (ACBOPA)</t>
  </si>
  <si>
    <t>Carrying Cost (CC)</t>
  </si>
  <si>
    <t>Syndicated Covered Bond Issues</t>
  </si>
  <si>
    <t>Name of Series</t>
  </si>
  <si>
    <t>Outstanding Principal Amount</t>
  </si>
  <si>
    <t>Scheduled Maturity Date</t>
  </si>
  <si>
    <t>Remaining Maturity (Years)</t>
  </si>
  <si>
    <t>102</t>
  </si>
  <si>
    <t>107</t>
  </si>
  <si>
    <t>124</t>
  </si>
  <si>
    <t>130</t>
  </si>
  <si>
    <t>138</t>
  </si>
  <si>
    <t>141</t>
  </si>
  <si>
    <t>142</t>
  </si>
  <si>
    <t>143</t>
  </si>
  <si>
    <t>146</t>
  </si>
  <si>
    <t>147</t>
  </si>
  <si>
    <t>148</t>
  </si>
  <si>
    <t>149</t>
  </si>
  <si>
    <t>150</t>
  </si>
  <si>
    <t>151</t>
  </si>
  <si>
    <t>152</t>
  </si>
  <si>
    <t>153</t>
  </si>
  <si>
    <t>155</t>
  </si>
  <si>
    <t>156</t>
  </si>
  <si>
    <t>157</t>
  </si>
  <si>
    <t>158</t>
  </si>
  <si>
    <t>159</t>
  </si>
  <si>
    <t>160</t>
  </si>
  <si>
    <t>163</t>
  </si>
  <si>
    <t>164</t>
  </si>
  <si>
    <t>165</t>
  </si>
  <si>
    <t>168</t>
  </si>
  <si>
    <t>169</t>
  </si>
  <si>
    <t>170</t>
  </si>
  <si>
    <t>172</t>
  </si>
  <si>
    <t>173</t>
  </si>
  <si>
    <t>178</t>
  </si>
  <si>
    <t>179</t>
  </si>
  <si>
    <t>184</t>
  </si>
  <si>
    <t>198</t>
  </si>
  <si>
    <t>202</t>
  </si>
  <si>
    <t>209</t>
  </si>
  <si>
    <t>212</t>
  </si>
  <si>
    <t>215</t>
  </si>
  <si>
    <t>219</t>
  </si>
  <si>
    <t>233</t>
  </si>
  <si>
    <t>Private Placements of Covered Bonds</t>
  </si>
  <si>
    <t>WA Remaining Maturity (Years)</t>
  </si>
  <si>
    <t xml:space="preserve">Total Outstanding Covered Bond Issues </t>
  </si>
  <si>
    <t>34</t>
  </si>
  <si>
    <t>36</t>
  </si>
  <si>
    <t>37</t>
  </si>
  <si>
    <t>38</t>
  </si>
  <si>
    <t>39</t>
  </si>
  <si>
    <t>41</t>
  </si>
  <si>
    <t>46</t>
  </si>
  <si>
    <t>47</t>
  </si>
  <si>
    <t>49</t>
  </si>
  <si>
    <t>50</t>
  </si>
  <si>
    <t>51</t>
  </si>
  <si>
    <t>54</t>
  </si>
  <si>
    <t>56</t>
  </si>
  <si>
    <t>61</t>
  </si>
  <si>
    <t>62</t>
  </si>
  <si>
    <t>63</t>
  </si>
  <si>
    <t>64</t>
  </si>
  <si>
    <t>65</t>
  </si>
  <si>
    <t>66</t>
  </si>
  <si>
    <t>68</t>
  </si>
  <si>
    <t>69</t>
  </si>
  <si>
    <t>70</t>
  </si>
  <si>
    <t>72</t>
  </si>
  <si>
    <t>73</t>
  </si>
  <si>
    <t>77</t>
  </si>
  <si>
    <t>78</t>
  </si>
  <si>
    <t>82</t>
  </si>
  <si>
    <t>83</t>
  </si>
  <si>
    <t>85</t>
  </si>
  <si>
    <t>86</t>
  </si>
  <si>
    <t>87</t>
  </si>
  <si>
    <t>88</t>
  </si>
  <si>
    <t>89</t>
  </si>
  <si>
    <t>90</t>
  </si>
  <si>
    <t>91</t>
  </si>
  <si>
    <t>92</t>
  </si>
  <si>
    <t>95</t>
  </si>
  <si>
    <t>96</t>
  </si>
  <si>
    <t>97</t>
  </si>
  <si>
    <t>100</t>
  </si>
  <si>
    <t>101</t>
  </si>
  <si>
    <t>103</t>
  </si>
  <si>
    <t>104</t>
  </si>
  <si>
    <t>105</t>
  </si>
  <si>
    <t>106</t>
  </si>
  <si>
    <t>108</t>
  </si>
  <si>
    <t>109</t>
  </si>
  <si>
    <t>110</t>
  </si>
  <si>
    <t>112</t>
  </si>
  <si>
    <t>113</t>
  </si>
  <si>
    <t>114</t>
  </si>
  <si>
    <t>115</t>
  </si>
  <si>
    <t>116</t>
  </si>
  <si>
    <t>117</t>
  </si>
  <si>
    <t>118</t>
  </si>
  <si>
    <t>119</t>
  </si>
  <si>
    <t>120</t>
  </si>
  <si>
    <t>121</t>
  </si>
  <si>
    <t>122</t>
  </si>
  <si>
    <t>123</t>
  </si>
  <si>
    <t>125</t>
  </si>
  <si>
    <t>126</t>
  </si>
  <si>
    <t>127</t>
  </si>
  <si>
    <t>128</t>
  </si>
  <si>
    <t>129</t>
  </si>
  <si>
    <t>132</t>
  </si>
  <si>
    <t>133</t>
  </si>
  <si>
    <t>134</t>
  </si>
  <si>
    <t>135</t>
  </si>
  <si>
    <t>136</t>
  </si>
  <si>
    <t>137</t>
  </si>
  <si>
    <t>139</t>
  </si>
  <si>
    <t>140</t>
  </si>
  <si>
    <t>145</t>
  </si>
  <si>
    <t>154</t>
  </si>
  <si>
    <t>161</t>
  </si>
  <si>
    <t>162</t>
  </si>
  <si>
    <t>166</t>
  </si>
  <si>
    <t>167</t>
  </si>
  <si>
    <t>171</t>
  </si>
  <si>
    <t>174</t>
  </si>
  <si>
    <t>175</t>
  </si>
  <si>
    <t>176</t>
  </si>
  <si>
    <t>177</t>
  </si>
  <si>
    <t>180</t>
  </si>
  <si>
    <t>181</t>
  </si>
  <si>
    <t>182</t>
  </si>
  <si>
    <t>183</t>
  </si>
  <si>
    <t>185</t>
  </si>
  <si>
    <t>186</t>
  </si>
  <si>
    <t>187</t>
  </si>
  <si>
    <t>188</t>
  </si>
  <si>
    <t>189</t>
  </si>
  <si>
    <t>190</t>
  </si>
  <si>
    <t>191</t>
  </si>
  <si>
    <t>192</t>
  </si>
  <si>
    <t>193</t>
  </si>
  <si>
    <t>194</t>
  </si>
  <si>
    <t>195</t>
  </si>
  <si>
    <t>196</t>
  </si>
  <si>
    <t>197</t>
  </si>
  <si>
    <t>199</t>
  </si>
  <si>
    <t>200</t>
  </si>
  <si>
    <t>201</t>
  </si>
  <si>
    <t>203</t>
  </si>
  <si>
    <t>204</t>
  </si>
  <si>
    <t>205</t>
  </si>
  <si>
    <t>206</t>
  </si>
  <si>
    <t>207</t>
  </si>
  <si>
    <t>208</t>
  </si>
  <si>
    <t>210</t>
  </si>
  <si>
    <t>211</t>
  </si>
  <si>
    <t>213</t>
  </si>
  <si>
    <t>214</t>
  </si>
  <si>
    <t>216</t>
  </si>
  <si>
    <t>217</t>
  </si>
  <si>
    <t>218</t>
  </si>
  <si>
    <t>220</t>
  </si>
  <si>
    <t>221</t>
  </si>
  <si>
    <t>222</t>
  </si>
  <si>
    <t>223</t>
  </si>
  <si>
    <t>224</t>
  </si>
  <si>
    <t>225</t>
  </si>
  <si>
    <t>226</t>
  </si>
  <si>
    <t>227</t>
  </si>
  <si>
    <t>228</t>
  </si>
  <si>
    <t>229</t>
  </si>
  <si>
    <t>230</t>
  </si>
  <si>
    <t>231</t>
  </si>
  <si>
    <t>232</t>
  </si>
  <si>
    <t>234</t>
  </si>
  <si>
    <t>235</t>
  </si>
  <si>
    <t>236</t>
  </si>
  <si>
    <r>
      <rPr>
        <b/>
        <i/>
        <vertAlign val="superscript"/>
        <sz val="8"/>
        <color rgb="FF000000"/>
        <rFont val="Times New Roman"/>
        <family val="1"/>
      </rPr>
      <t xml:space="preserve">1 </t>
    </r>
    <r>
      <rPr>
        <b/>
        <i/>
        <sz val="8"/>
        <color rgb="FF000000"/>
        <rFont val="Times New Roman"/>
        <family val="1"/>
      </rPr>
      <t xml:space="preserve">Substitution Assets </t>
    </r>
    <r>
      <rPr>
        <sz val="8"/>
        <color rgb="FF000000"/>
        <rFont val="Times New Roman"/>
        <family val="1"/>
      </rPr>
      <t xml:space="preserve">means any </t>
    </r>
    <r>
      <rPr>
        <i/>
        <sz val="8"/>
        <color rgb="FF000000"/>
        <rFont val="Times New Roman"/>
        <family val="1"/>
      </rPr>
      <t>valeur de remplacement</t>
    </r>
    <r>
      <rPr>
        <b/>
        <i/>
        <sz val="8"/>
        <color rgb="FF000000"/>
        <rFont val="Times New Roman"/>
        <family val="1"/>
      </rPr>
      <t xml:space="preserve"> </t>
    </r>
    <r>
      <rPr>
        <sz val="8"/>
        <color rgb="FF000000"/>
        <rFont val="Times New Roman"/>
        <family val="1"/>
      </rPr>
      <t>of the Lender, within the meaning, and complying with the provisions, of Articles L.515-17 and R.515-7 of the FMFC, and which is not a Permitted Investment.</t>
    </r>
  </si>
  <si>
    <r>
      <rPr>
        <b/>
        <i/>
        <vertAlign val="superscript"/>
        <sz val="8"/>
        <color rgb="FF000000"/>
        <rFont val="Times New Roman"/>
        <family val="1"/>
      </rPr>
      <t xml:space="preserve">2 </t>
    </r>
    <r>
      <rPr>
        <b/>
        <i/>
        <sz val="8"/>
        <color rgb="FF000000"/>
        <rFont val="Times New Roman"/>
        <family val="1"/>
      </rPr>
      <t xml:space="preserve">Permitted Investments </t>
    </r>
    <r>
      <rPr>
        <sz val="8"/>
        <color rgb="FF000000"/>
        <rFont val="Times New Roman"/>
        <family val="1"/>
      </rPr>
      <t xml:space="preserve">means any </t>
    </r>
    <r>
      <rPr>
        <i/>
        <sz val="8"/>
        <color rgb="FF000000"/>
        <rFont val="Times New Roman"/>
        <family val="1"/>
      </rPr>
      <t>valeur de remplacement</t>
    </r>
    <r>
      <rPr>
        <sz val="8"/>
        <color rgb="FF000000"/>
        <rFont val="Times New Roman"/>
        <family val="1"/>
      </rPr>
      <t xml:space="preserve"> of the Lender, within the meaning, and complying with the provisions, of Articles L.515-17 and R.515-7 of the FMFC. Substitution Assets will be valued using the same methodology as the specific controller of the Lender, which is denominated in Euro and falls into one of the following categories:
(a) deposits denominated in Euro made with a credit institution whose registered office is located in a member state either of the European Economic Area or of the Organisation for Economic Co-operation and Development ("OECD"), with the exception of investment firms, having a rating no lower than A+ (long term) (or A (long term), but in that case, together with A-1 (short term)) by S&amp;P and P-1 (short term) by Moody's, and which may be repaid or withdrawn at any moment at the request of the Issuer in order to make sums available within twenty-four (24) hours at the latest, having a remaining maturity date of thirty (30) days or less and mature at least one (1) Business Day prior to the next Payment Date;
(b)  French treasury bonds (bons du Trésor) having a remaining maturity date of thirty (30) days or less and mature at least one (1) Business Day prior to the next Payment Date and having a rating no lower than A+ (long term) (or A (long term), but in that case, together with A-1 (short term)) by S&amp;P and P-1 (short term) by Moody's;
(c)  debt instruments referred to in paragraph 2 of Article D. 214-94 of the Financial Code and denominated in Euro, provided that:
        (i) they are traded on a regulated market located in a country that is party to the agreement on the European Economic Area, with the exception of securities giving access directly or indirectly to the share capital of a company; 
        (ii) they have a fixed principal amount at maturity; 
        (iii) they are not interest-only strips;
        (iv) they are not purchased at a premium over par; 
        (v) they are not issued by mutual funds or any securitisation special purpose vehicle; and
        (vi) they have a remaining maturity date of thirty (30) days or less and mature at least one (1) Business Day prior to the next Payment Date and having a rating no lower than A+ (long term) (or A (long term), but in that case, together with A-1 (short term)) by S&amp;P and P-1 (short term) by Moody's;
(d)  negotiable debt instruments (titres de créances négociables) being denominated in Euro and provided they have the characteristics specified in sub-paragraphs (ii) to (v) of paragraph (c) above, having a remaining maturity date of thirty (30) days or less and mature at least one (1) Business Day prior to the next Payment Date and having a rating no lower than A+ (long term) (or A (long term), but in that case, together with A-1 (short term)) by S&amp;P and P-1 (short term) by Moody's; or
(e)  units or shares of units in undertakings for collective investment in transferable securities (organismes de placement collectifs en valeurs mobilières) invested mainly in debt instruments referred to in paragraphs (b), (c) and (d) above, being denominated in Euro, having a remaining maturity date of thirty (30) days or less and mature at least one (1) Business Day prior to the next Payment Date and having a daily liquidity.
</t>
    </r>
  </si>
  <si>
    <r>
      <rPr>
        <b/>
        <i/>
        <vertAlign val="superscript"/>
        <sz val="8"/>
        <color rgb="FF000000"/>
        <rFont val="Times New Roman"/>
        <family val="1"/>
      </rPr>
      <t xml:space="preserve">3 </t>
    </r>
    <r>
      <rPr>
        <b/>
        <i/>
        <sz val="8"/>
        <color rgb="FF000000"/>
        <rFont val="Times New Roman"/>
        <family val="1"/>
      </rPr>
      <t>HC, Hedging Costs</t>
    </r>
    <r>
      <rPr>
        <sz val="8"/>
        <color rgb="FF000000"/>
        <rFont val="Times New Roman"/>
        <family val="1"/>
      </rPr>
      <t>,  is equal to : (i) zero before the issuer enters into any hedging agreement; and (ii) otherwise, an amount equal to the payments due under the issuer hedging agreements (plus interest) within the period between two interest payment dates, plus two months preceding the relevant ACT date.</t>
    </r>
  </si>
  <si>
    <r>
      <rPr>
        <b/>
        <i/>
        <vertAlign val="superscript"/>
        <sz val="8"/>
        <color rgb="FF000000"/>
        <rFont val="Times New Roman"/>
        <family val="1"/>
      </rPr>
      <t>4</t>
    </r>
    <r>
      <rPr>
        <b/>
        <i/>
        <sz val="10"/>
        <color rgb="FF000000"/>
        <rFont val="Arial"/>
        <family val="2"/>
      </rPr>
      <t xml:space="preserve"> </t>
    </r>
    <r>
      <rPr>
        <b/>
        <i/>
        <sz val="8"/>
        <color rgb="FF000000"/>
        <rFont val="Times New Roman"/>
        <family val="1"/>
      </rPr>
      <t>NC, Negative Carry</t>
    </r>
    <r>
      <rPr>
        <sz val="8"/>
        <color rgb="FF000000"/>
        <rFont val="Times New Roman"/>
        <family val="1"/>
      </rPr>
      <t>, is the weighted-average maturity of all covered bonds outstanding (subject to a floor of one year), multiplied by the euro equivalent covered bonds' aggregate principal amount outstanding multiplied by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</si>
</sst>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_-;\-* #,##0.00_-;_-* &quot;-&quot;??_-;_-@_-"/>
    <numFmt numFmtId="164" formatCode="_-* #,##0.00\ _€_-;\-* #,##0.00\ _€_-;_-* &quot;-&quot;??\ _€_-;_-@_-"/>
    <numFmt numFmtId="165" formatCode="_ * #,##0.00_ ;_ * \-#,##0.00_ ;_ * &quot;-&quot;??_ ;_ @_ "/>
    <numFmt numFmtId="166" formatCode="0.0%"/>
    <numFmt numFmtId="167" formatCode="0.0"/>
    <numFmt numFmtId="168" formatCode="_-* #,##0\ _€_-;\-* #,##0\ _€_-;_-* &quot;-&quot;??\ _€_-;_-@_-"/>
    <numFmt numFmtId="169" formatCode="0.00000"/>
    <numFmt numFmtId="170" formatCode="#\ ###\ ###\ ###\ ###"/>
    <numFmt numFmtId="171" formatCode="_-* #,##0_-;\-* #,##0_-;_-* \-_-;_-@_-"/>
    <numFmt numFmtId="172" formatCode="_(* #,##0.00_);_(* \(#,##0.00\);_(* \-??_);_(@_)"/>
    <numFmt numFmtId="173" formatCode="#,##0.0"/>
    <numFmt numFmtId="174" formatCode="#,##0_ ;\-#,##0\ "/>
    <numFmt numFmtId="175" formatCode="_-* #,##0.00\ _F_-;\-* #,##0.00\ _F_-;_-* \-??\ _F_-;_-@_-"/>
  </numFmts>
  <fonts count="102" x14ac:knownFonts="1">
    <font>
      <sz val="11"/>
      <color theme="1"/>
      <name val="Calibri"/>
      <family val="2"/>
      <scheme val="minor"/>
    </font>
    <font>
      <sz val="11"/>
      <color indexed="8"/>
      <name val="Calibri"/>
      <family val="2"/>
    </font>
    <font>
      <sz val="10"/>
      <name val="Arial"/>
      <family val="2"/>
    </font>
    <font>
      <sz val="8"/>
      <name val="Arial"/>
      <family val="2"/>
    </font>
    <font>
      <sz val="13"/>
      <color indexed="63"/>
      <name val="Calibri"/>
      <family val="2"/>
    </font>
    <font>
      <b/>
      <sz val="13"/>
      <color indexed="63"/>
      <name val="Calibri"/>
      <family val="2"/>
    </font>
    <font>
      <b/>
      <sz val="13"/>
      <name val="Calibri"/>
      <family val="2"/>
    </font>
    <font>
      <sz val="13"/>
      <name val="Calibri"/>
      <family val="2"/>
    </font>
    <font>
      <b/>
      <sz val="10"/>
      <name val="Arial"/>
      <family val="2"/>
    </font>
    <font>
      <sz val="10"/>
      <name val="Arial"/>
      <family val="2"/>
    </font>
    <font>
      <b/>
      <u/>
      <sz val="10"/>
      <name val="Arial"/>
      <family val="2"/>
    </font>
    <font>
      <b/>
      <i/>
      <sz val="10"/>
      <name val="Arial"/>
      <family val="2"/>
    </font>
    <font>
      <sz val="9"/>
      <name val="Arial"/>
      <family val="2"/>
    </font>
    <font>
      <b/>
      <sz val="9"/>
      <name val="Arial"/>
      <family val="2"/>
    </font>
    <font>
      <sz val="9"/>
      <color indexed="10"/>
      <name val="Arial"/>
      <family val="2"/>
    </font>
    <font>
      <sz val="10"/>
      <color indexed="10"/>
      <name val="Arial"/>
      <family val="2"/>
    </font>
    <font>
      <sz val="10"/>
      <color indexed="9"/>
      <name val="Arial"/>
      <family val="2"/>
    </font>
    <font>
      <b/>
      <sz val="10"/>
      <color indexed="9"/>
      <name val="Arial"/>
      <family val="2"/>
    </font>
    <font>
      <i/>
      <sz val="10"/>
      <name val="Arial"/>
      <family val="2"/>
    </font>
    <font>
      <u/>
      <sz val="10"/>
      <color indexed="12"/>
      <name val="Arial"/>
      <family val="2"/>
    </font>
    <font>
      <u/>
      <sz val="9"/>
      <color indexed="12"/>
      <name val="Arial"/>
      <family val="2"/>
    </font>
    <font>
      <sz val="10"/>
      <color indexed="12"/>
      <name val="Arial"/>
      <family val="2"/>
    </font>
    <font>
      <b/>
      <sz val="10"/>
      <color indexed="10"/>
      <name val="Arial"/>
      <family val="2"/>
    </font>
    <font>
      <sz val="10"/>
      <color indexed="23"/>
      <name val="Arial"/>
      <family val="2"/>
    </font>
    <font>
      <b/>
      <sz val="10"/>
      <color indexed="23"/>
      <name val="Arial"/>
      <family val="2"/>
    </font>
    <font>
      <b/>
      <sz val="8"/>
      <name val="Arial"/>
      <family val="2"/>
    </font>
    <font>
      <u/>
      <sz val="10"/>
      <name val="Arial"/>
      <family val="2"/>
    </font>
    <font>
      <sz val="10"/>
      <name val="Arial"/>
      <family val="2"/>
    </font>
    <font>
      <b/>
      <sz val="8"/>
      <color indexed="9"/>
      <name val="Arial"/>
      <family val="2"/>
    </font>
    <font>
      <b/>
      <sz val="16"/>
      <color indexed="9"/>
      <name val="Arial"/>
      <family val="2"/>
    </font>
    <font>
      <sz val="16"/>
      <color indexed="9"/>
      <name val="Arial"/>
      <family val="2"/>
    </font>
    <font>
      <sz val="8"/>
      <color indexed="9"/>
      <name val="Arial"/>
      <family val="2"/>
    </font>
    <font>
      <sz val="8"/>
      <color indexed="18"/>
      <name val="Arial"/>
      <family val="2"/>
    </font>
    <font>
      <b/>
      <sz val="12"/>
      <color indexed="9"/>
      <name val="Arial"/>
      <family val="2"/>
    </font>
    <font>
      <b/>
      <i/>
      <sz val="8"/>
      <name val="Times New Roman"/>
      <family val="1"/>
    </font>
    <font>
      <sz val="8"/>
      <name val="Times New Roman"/>
      <family val="1"/>
    </font>
    <font>
      <u/>
      <sz val="7.5"/>
      <color indexed="12"/>
      <name val="Arial"/>
      <family val="2"/>
    </font>
    <font>
      <sz val="10"/>
      <name val="MS Sans Serif"/>
      <family val="2"/>
    </font>
    <font>
      <sz val="10"/>
      <color indexed="8"/>
      <name val="MS Sans Serif"/>
      <family val="2"/>
    </font>
    <font>
      <sz val="11"/>
      <name val="Calibri"/>
      <family val="2"/>
    </font>
    <font>
      <sz val="8"/>
      <name val="Calibri"/>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b/>
      <sz val="11"/>
      <color theme="0"/>
      <name val="Calibri"/>
      <family val="2"/>
      <scheme val="minor"/>
    </font>
    <font>
      <sz val="10"/>
      <color theme="1"/>
      <name val="Arial"/>
      <family val="2"/>
    </font>
    <font>
      <b/>
      <u/>
      <sz val="11"/>
      <name val="Calibri"/>
      <family val="2"/>
      <scheme val="minor"/>
    </font>
    <font>
      <b/>
      <sz val="11"/>
      <name val="Calibri"/>
      <family val="2"/>
      <scheme val="minor"/>
    </font>
    <font>
      <b/>
      <sz val="14"/>
      <color theme="0"/>
      <name val="Calibri"/>
      <family val="2"/>
      <scheme val="minor"/>
    </font>
    <font>
      <b/>
      <sz val="24"/>
      <color theme="1"/>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0"/>
      <name val="Calibri"/>
      <family val="2"/>
      <scheme val="minor"/>
    </font>
    <font>
      <sz val="10"/>
      <name val="Calibri"/>
      <family val="2"/>
      <scheme val="minor"/>
    </font>
    <font>
      <b/>
      <i/>
      <sz val="14"/>
      <color theme="0"/>
      <name val="Calibri"/>
      <family val="2"/>
      <scheme val="minor"/>
    </font>
    <font>
      <b/>
      <i/>
      <sz val="11"/>
      <name val="Calibri"/>
      <family val="2"/>
      <scheme val="minor"/>
    </font>
    <font>
      <u/>
      <sz val="11"/>
      <name val="Calibri"/>
      <family val="2"/>
      <scheme val="minor"/>
    </font>
    <font>
      <b/>
      <sz val="16"/>
      <color theme="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333333"/>
      <name val="Calibri"/>
      <family val="2"/>
      <scheme val="minor"/>
    </font>
    <font>
      <b/>
      <sz val="10"/>
      <color rgb="FF00B050"/>
      <name val="Arial"/>
      <family val="2"/>
    </font>
    <font>
      <sz val="10"/>
      <color rgb="FF00B050"/>
      <name val="Arial"/>
      <family val="2"/>
    </font>
    <font>
      <sz val="11"/>
      <color rgb="FF0070C0"/>
      <name val="Calibri"/>
      <family val="2"/>
      <scheme val="minor"/>
    </font>
    <font>
      <i/>
      <sz val="11"/>
      <color rgb="FF0070C0"/>
      <name val="Calibri"/>
      <family val="2"/>
      <scheme val="minor"/>
    </font>
    <font>
      <sz val="9"/>
      <color theme="1"/>
      <name val="Verdana"/>
      <family val="2"/>
    </font>
    <font>
      <sz val="24"/>
      <color theme="1"/>
      <name val="Calibri"/>
      <family val="2"/>
      <scheme val="minor"/>
    </font>
    <font>
      <b/>
      <sz val="9"/>
      <color theme="1"/>
      <name val="Verdana"/>
      <family val="2"/>
    </font>
    <font>
      <b/>
      <i/>
      <sz val="11"/>
      <color theme="0"/>
      <name val="Calibri"/>
      <family val="2"/>
      <scheme val="minor"/>
    </font>
    <font>
      <b/>
      <sz val="24"/>
      <color theme="9" tint="-0.249977111117893"/>
      <name val="Calibri"/>
      <family val="2"/>
      <scheme val="minor"/>
    </font>
    <font>
      <b/>
      <sz val="11"/>
      <color rgb="FFFF0000"/>
      <name val="Calibri"/>
      <family val="2"/>
      <scheme val="minor"/>
    </font>
    <font>
      <sz val="10"/>
      <color theme="0"/>
      <name val="Arial"/>
      <family val="2"/>
    </font>
    <font>
      <u/>
      <sz val="11"/>
      <color theme="1"/>
      <name val="Calibri"/>
      <family val="2"/>
      <scheme val="minor"/>
    </font>
    <font>
      <sz val="11"/>
      <color theme="1"/>
      <name val="Calibri"/>
      <family val="2"/>
    </font>
    <font>
      <sz val="9"/>
      <color rgb="FF000000"/>
      <name val="Verdana"/>
      <family val="2"/>
    </font>
    <font>
      <b/>
      <sz val="11"/>
      <color rgb="FFFFFFFF"/>
      <name val="Calibri"/>
      <family val="2"/>
    </font>
    <font>
      <sz val="8"/>
      <name val="Calibri"/>
      <family val="2"/>
      <scheme val="minor"/>
    </font>
    <font>
      <i/>
      <sz val="11"/>
      <name val="Calibri"/>
      <family val="2"/>
    </font>
    <font>
      <sz val="10"/>
      <color rgb="FF000000"/>
      <name val="Arial"/>
      <family val="2"/>
    </font>
    <font>
      <u/>
      <sz val="11"/>
      <color rgb="FF0000FF"/>
      <name val="Calibri"/>
      <family val="2"/>
    </font>
    <font>
      <b/>
      <u/>
      <sz val="11"/>
      <color rgb="FF0000FF"/>
      <name val="Calibri"/>
      <family val="2"/>
    </font>
    <font>
      <i/>
      <sz val="9"/>
      <name val="Calibri"/>
      <family val="2"/>
    </font>
    <font>
      <b/>
      <sz val="11"/>
      <color rgb="FF000000"/>
      <name val="Calibri"/>
      <family val="2"/>
    </font>
    <font>
      <sz val="13"/>
      <color rgb="FF1E1B1D"/>
      <name val="Calibri"/>
      <family val="2"/>
    </font>
    <font>
      <sz val="13"/>
      <color rgb="FF000000"/>
      <name val="Calibri"/>
      <family val="2"/>
    </font>
    <font>
      <b/>
      <sz val="13"/>
      <color rgb="FF000000"/>
      <name val="Calibri"/>
      <family val="2"/>
    </font>
    <font>
      <i/>
      <sz val="13"/>
      <color rgb="FF000000"/>
      <name val="Calibri"/>
      <family val="2"/>
    </font>
    <font>
      <sz val="11"/>
      <color rgb="FF000000"/>
      <name val="Calibri"/>
      <family val="2"/>
    </font>
    <font>
      <i/>
      <sz val="10"/>
      <color rgb="FF000000"/>
      <name val="Arial"/>
      <family val="2"/>
    </font>
    <font>
      <u/>
      <sz val="10"/>
      <color rgb="FF000000"/>
      <name val="Arial"/>
      <family val="2"/>
    </font>
    <font>
      <vertAlign val="superscript"/>
      <sz val="10"/>
      <color rgb="FF000000"/>
      <name val="Arial"/>
      <family val="2"/>
    </font>
    <font>
      <b/>
      <i/>
      <vertAlign val="superscript"/>
      <sz val="8"/>
      <color rgb="FF000000"/>
      <name val="Times New Roman"/>
      <family val="1"/>
    </font>
    <font>
      <b/>
      <i/>
      <sz val="8"/>
      <color rgb="FF000000"/>
      <name val="Times New Roman"/>
      <family val="1"/>
    </font>
    <font>
      <sz val="8"/>
      <color rgb="FF000000"/>
      <name val="Times New Roman"/>
      <family val="1"/>
    </font>
    <font>
      <i/>
      <sz val="8"/>
      <color rgb="FF000000"/>
      <name val="Times New Roman"/>
      <family val="1"/>
    </font>
    <font>
      <b/>
      <i/>
      <sz val="10"/>
      <color rgb="FF000000"/>
      <name val="Arial"/>
      <family val="2"/>
    </font>
    <font>
      <b/>
      <sz val="9"/>
      <color rgb="FF000000"/>
      <name val="Tahoma"/>
      <family val="2"/>
    </font>
    <font>
      <b/>
      <u/>
      <sz val="9"/>
      <color rgb="FF000000"/>
      <name val="Tahoma"/>
      <family val="2"/>
    </font>
  </fonts>
  <fills count="23">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46"/>
        <bgColor indexed="64"/>
      </patternFill>
    </fill>
    <fill>
      <patternFill patternType="solid">
        <fgColor indexed="20"/>
        <bgColor indexed="64"/>
      </patternFill>
    </fill>
    <fill>
      <patternFill patternType="solid">
        <fgColor indexed="36"/>
        <bgColor indexed="64"/>
      </patternFill>
    </fill>
    <fill>
      <patternFill patternType="solid">
        <fgColor rgb="FFFFC000"/>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243386"/>
        <bgColor indexed="64"/>
      </patternFill>
    </fill>
    <fill>
      <patternFill patternType="solid">
        <fgColor rgb="FFCC99FF"/>
        <bgColor indexed="64"/>
      </patternFill>
    </fill>
    <fill>
      <patternFill patternType="solid">
        <fgColor theme="2" tint="-9.9978637043366805E-2"/>
        <bgColor indexed="64"/>
      </patternFill>
    </fill>
    <fill>
      <patternFill patternType="solid">
        <fgColor theme="0"/>
        <bgColor indexed="64"/>
      </patternFill>
    </fill>
    <fill>
      <patternFill patternType="solid">
        <fgColor rgb="FFE26B0A"/>
        <bgColor indexed="64"/>
      </patternFill>
    </fill>
    <fill>
      <patternFill patternType="solid">
        <fgColor rgb="FF00B0F0"/>
        <bgColor indexed="64"/>
      </patternFill>
    </fill>
    <fill>
      <patternFill patternType="solid">
        <fgColor rgb="FFFABF8F"/>
        <bgColor rgb="FF000000"/>
      </patternFill>
    </fill>
    <fill>
      <patternFill patternType="solid">
        <fgColor rgb="FFFDE9D9"/>
        <bgColor rgb="FF000000"/>
      </patternFill>
    </fill>
    <fill>
      <patternFill patternType="solid">
        <fgColor rgb="FFFFFF00"/>
        <bgColor indexed="64"/>
      </patternFill>
    </fill>
    <fill>
      <patternFill patternType="solid">
        <fgColor rgb="FFBFBFBF"/>
        <bgColor rgb="FF000000"/>
      </patternFill>
    </fill>
    <fill>
      <patternFill patternType="solid">
        <fgColor theme="9" tint="0.79998168889431442"/>
        <bgColor indexed="64"/>
      </patternFill>
    </fill>
    <fill>
      <patternFill patternType="solid">
        <fgColor theme="0" tint="-0.249977111117893"/>
        <bgColor indexed="64"/>
      </patternFill>
    </fill>
  </fills>
  <borders count="80">
    <border>
      <left/>
      <right/>
      <top/>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23"/>
      </left>
      <right style="thin">
        <color indexed="64"/>
      </right>
      <top style="thin">
        <color indexed="64"/>
      </top>
      <bottom style="hair">
        <color indexed="64"/>
      </bottom>
      <diagonal/>
    </border>
    <border>
      <left style="medium">
        <color indexed="23"/>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bottom/>
      <diagonal/>
    </border>
    <border>
      <left/>
      <right style="thin">
        <color indexed="23"/>
      </right>
      <top/>
      <bottom/>
      <diagonal/>
    </border>
    <border>
      <left/>
      <right/>
      <top style="medium">
        <color indexed="36"/>
      </top>
      <bottom style="medium">
        <color indexed="36"/>
      </bottom>
      <diagonal/>
    </border>
    <border>
      <left style="thin">
        <color indexed="23"/>
      </left>
      <right style="thin">
        <color indexed="23"/>
      </right>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style="medium">
        <color rgb="FFE36E00"/>
      </bottom>
      <diagonal/>
    </border>
    <border>
      <left style="medium">
        <color rgb="FF243386"/>
      </left>
      <right style="medium">
        <color rgb="FF243386"/>
      </right>
      <top style="medium">
        <color rgb="FF243386"/>
      </top>
      <bottom style="medium">
        <color rgb="FF243386"/>
      </bottom>
      <diagonal/>
    </border>
    <border>
      <left style="medium">
        <color rgb="FFE26B0A"/>
      </left>
      <right/>
      <top style="medium">
        <color rgb="FFE26B0A"/>
      </top>
      <bottom/>
      <diagonal/>
    </border>
    <border>
      <left/>
      <right style="medium">
        <color rgb="FFE26B0A"/>
      </right>
      <top style="medium">
        <color rgb="FFE26B0A"/>
      </top>
      <bottom/>
      <diagonal/>
    </border>
    <border>
      <left style="medium">
        <color rgb="FFE26B0A"/>
      </left>
      <right/>
      <top/>
      <bottom/>
      <diagonal/>
    </border>
    <border>
      <left/>
      <right style="medium">
        <color rgb="FFE26B0A"/>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style="thin">
        <color indexed="64"/>
      </left>
      <right style="thin">
        <color indexed="64"/>
      </right>
      <top/>
      <bottom style="hair">
        <color indexed="64"/>
      </bottom>
      <diagonal/>
    </border>
    <border>
      <left/>
      <right style="medium">
        <color theme="9" tint="-0.249977111117893"/>
      </right>
      <top/>
      <bottom/>
      <diagonal/>
    </border>
    <border>
      <left/>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style="medium">
        <color theme="9" tint="-0.249977111117893"/>
      </right>
      <top/>
      <bottom/>
      <diagonal/>
    </border>
    <border>
      <left/>
      <right/>
      <top style="medium">
        <color rgb="FF243386"/>
      </top>
      <bottom/>
      <diagonal/>
    </border>
    <border>
      <left style="medium">
        <color theme="9" tint="-0.249977111117893"/>
      </left>
      <right/>
      <top/>
      <bottom/>
      <diagonal/>
    </border>
  </borders>
  <cellStyleXfs count="35">
    <xf numFmtId="0" fontId="0" fillId="0" borderId="0"/>
    <xf numFmtId="165" fontId="41" fillId="0" borderId="0" applyFont="0" applyFill="0" applyBorder="0" applyAlignment="0" applyProtection="0"/>
    <xf numFmtId="44" fontId="2" fillId="0" borderId="0" applyFont="0" applyFill="0" applyBorder="0" applyAlignment="0" applyProtection="0"/>
    <xf numFmtId="0" fontId="36" fillId="0" borderId="0" applyNumberFormat="0" applyFill="0" applyBorder="0" applyAlignment="0" applyProtection="0"/>
    <xf numFmtId="0" fontId="43" fillId="0" borderId="0" applyNumberFormat="0" applyFill="0" applyBorder="0" applyAlignment="0" applyProtection="0"/>
    <xf numFmtId="0" fontId="19" fillId="0" borderId="0" applyNumberFormat="0" applyFill="0" applyBorder="0" applyAlignment="0" applyProtection="0">
      <alignment vertical="top"/>
      <protection locked="0"/>
    </xf>
    <xf numFmtId="171" fontId="2" fillId="0" borderId="0" applyFill="0" applyBorder="0" applyAlignment="0" applyProtection="0"/>
    <xf numFmtId="172" fontId="2" fillId="0" borderId="0" applyFill="0" applyBorder="0" applyAlignment="0" applyProtection="0"/>
    <xf numFmtId="164" fontId="4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1" fillId="0" borderId="0"/>
    <xf numFmtId="0" fontId="2" fillId="0" borderId="0"/>
    <xf numFmtId="0" fontId="41" fillId="0" borderId="0"/>
    <xf numFmtId="0" fontId="2" fillId="0" borderId="0"/>
    <xf numFmtId="0" fontId="2" fillId="0" borderId="0"/>
    <xf numFmtId="0" fontId="9" fillId="0" borderId="0"/>
    <xf numFmtId="0" fontId="27" fillId="0" borderId="0"/>
    <xf numFmtId="0" fontId="3" fillId="0" borderId="0"/>
    <xf numFmtId="0" fontId="2" fillId="0" borderId="0">
      <alignment horizontal="left" wrapText="1"/>
    </xf>
    <xf numFmtId="0" fontId="2" fillId="0" borderId="0"/>
    <xf numFmtId="10" fontId="37" fillId="0" borderId="0"/>
    <xf numFmtId="9" fontId="4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2" fillId="0" borderId="0">
      <alignment horizontal="left" wrapText="1"/>
    </xf>
    <xf numFmtId="0" fontId="38" fillId="0" borderId="0"/>
    <xf numFmtId="0" fontId="2" fillId="0" borderId="0">
      <alignment horizontal="left" wrapText="1"/>
    </xf>
    <xf numFmtId="44" fontId="2"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0" fontId="2" fillId="0" borderId="0"/>
    <xf numFmtId="175" fontId="2" fillId="0" borderId="0" applyFill="0" applyBorder="0" applyAlignment="0" applyProtection="0"/>
  </cellStyleXfs>
  <cellXfs count="662">
    <xf numFmtId="0" fontId="0" fillId="0" borderId="0" xfId="0"/>
    <xf numFmtId="0" fontId="51" fillId="0" borderId="2" xfId="0" applyFont="1" applyBorder="1"/>
    <xf numFmtId="0" fontId="51" fillId="0" borderId="3" xfId="0" applyFont="1" applyBorder="1"/>
    <xf numFmtId="0" fontId="51" fillId="0" borderId="4" xfId="0" applyFont="1" applyBorder="1"/>
    <xf numFmtId="0" fontId="51" fillId="0" borderId="5" xfId="0" applyFont="1" applyBorder="1"/>
    <xf numFmtId="0" fontId="51" fillId="0" borderId="6" xfId="0" applyFont="1" applyBorder="1"/>
    <xf numFmtId="0" fontId="51" fillId="0" borderId="7" xfId="0" applyFont="1" applyBorder="1"/>
    <xf numFmtId="0" fontId="51" fillId="0" borderId="8" xfId="0" applyFont="1" applyBorder="1"/>
    <xf numFmtId="0" fontId="51" fillId="0" borderId="9" xfId="0" applyFont="1" applyBorder="1"/>
    <xf numFmtId="0" fontId="42" fillId="0" borderId="0" xfId="4" applyFont="1" applyAlignment="1"/>
    <xf numFmtId="0" fontId="43" fillId="0" borderId="61" xfId="4" quotePrefix="1" applyFill="1" applyBorder="1" applyAlignment="1">
      <alignment horizontal="center" vertical="center" wrapText="1"/>
    </xf>
    <xf numFmtId="0" fontId="43" fillId="0" borderId="62" xfId="4" quotePrefix="1" applyFill="1" applyBorder="1" applyAlignment="1">
      <alignment horizontal="center" vertical="center" wrapText="1"/>
    </xf>
    <xf numFmtId="0" fontId="0" fillId="0" borderId="63" xfId="0" applyFont="1" applyFill="1" applyBorder="1" applyAlignment="1">
      <alignment horizontal="center" vertical="center" wrapText="1"/>
    </xf>
    <xf numFmtId="0" fontId="60" fillId="0" borderId="0" xfId="0" applyFont="1" applyAlignment="1">
      <alignment horizontal="center" vertical="center"/>
    </xf>
    <xf numFmtId="0" fontId="61" fillId="0" borderId="0" xfId="0" applyFont="1" applyAlignment="1">
      <alignment vertical="center" wrapText="1"/>
    </xf>
    <xf numFmtId="0" fontId="62" fillId="0" borderId="0" xfId="0" applyFont="1" applyAlignment="1">
      <alignment horizontal="left" vertical="center" wrapText="1"/>
    </xf>
    <xf numFmtId="0" fontId="63" fillId="0" borderId="0" xfId="0" applyFont="1" applyAlignment="1">
      <alignment wrapText="1"/>
    </xf>
    <xf numFmtId="0" fontId="61" fillId="0" borderId="0" xfId="0" applyFont="1" applyAlignment="1">
      <alignment horizontal="left" vertical="center" wrapText="1"/>
    </xf>
    <xf numFmtId="0" fontId="63" fillId="0" borderId="0" xfId="0" applyFont="1" applyAlignment="1">
      <alignment vertical="center" wrapText="1"/>
    </xf>
    <xf numFmtId="0" fontId="64" fillId="0" borderId="0" xfId="0" applyFont="1" applyAlignment="1">
      <alignment vertical="center" wrapText="1"/>
    </xf>
    <xf numFmtId="164" fontId="3" fillId="0" borderId="0" xfId="9" applyFont="1" applyAlignment="1">
      <alignment horizontal="center"/>
    </xf>
    <xf numFmtId="0" fontId="8" fillId="0" borderId="0" xfId="18" applyFont="1" applyAlignment="1">
      <alignment horizontal="right"/>
    </xf>
    <xf numFmtId="0" fontId="8" fillId="0" borderId="0" xfId="18" applyFont="1"/>
    <xf numFmtId="0" fontId="11" fillId="0" borderId="0" xfId="18" applyFont="1"/>
    <xf numFmtId="0" fontId="10" fillId="0" borderId="0" xfId="18" applyFont="1"/>
    <xf numFmtId="0" fontId="17" fillId="0" borderId="0" xfId="18" applyFont="1" applyFill="1"/>
    <xf numFmtId="0" fontId="23" fillId="0" borderId="0" xfId="18" applyFont="1"/>
    <xf numFmtId="0" fontId="24" fillId="0" borderId="0" xfId="18" applyFont="1"/>
    <xf numFmtId="0" fontId="16" fillId="0" borderId="0" xfId="18" applyFont="1" applyFill="1"/>
    <xf numFmtId="0" fontId="2" fillId="0" borderId="0" xfId="18" applyFont="1"/>
    <xf numFmtId="0" fontId="17" fillId="0" borderId="0" xfId="18" applyFont="1" applyFill="1" applyAlignment="1">
      <alignment horizontal="center"/>
    </xf>
    <xf numFmtId="0" fontId="18" fillId="0" borderId="0" xfId="18" applyFont="1" applyAlignment="1">
      <alignment horizontal="center"/>
    </xf>
    <xf numFmtId="0" fontId="26" fillId="0" borderId="0" xfId="18" applyFont="1"/>
    <xf numFmtId="0" fontId="2" fillId="0" borderId="0" xfId="18" applyFont="1" applyAlignment="1">
      <alignment horizontal="center"/>
    </xf>
    <xf numFmtId="0" fontId="2" fillId="0" borderId="0" xfId="18" applyFont="1" applyAlignment="1">
      <alignment vertical="center"/>
    </xf>
    <xf numFmtId="0" fontId="3" fillId="0" borderId="0" xfId="18" applyFont="1"/>
    <xf numFmtId="0" fontId="8" fillId="0" borderId="0" xfId="18" applyFont="1" applyAlignment="1">
      <alignment horizontal="left"/>
    </xf>
    <xf numFmtId="0" fontId="3" fillId="0" borderId="0" xfId="18" applyFont="1" applyAlignment="1">
      <alignment horizontal="center"/>
    </xf>
    <xf numFmtId="14" fontId="32" fillId="0" borderId="17" xfId="18" applyNumberFormat="1" applyFont="1" applyFill="1" applyBorder="1"/>
    <xf numFmtId="0" fontId="32" fillId="0" borderId="17" xfId="20" applyFont="1" applyFill="1" applyBorder="1" applyAlignment="1">
      <alignment horizontal="center"/>
    </xf>
    <xf numFmtId="1" fontId="32" fillId="0" borderId="13" xfId="20" applyNumberFormat="1" applyFont="1" applyFill="1" applyBorder="1" applyAlignment="1">
      <alignment horizontal="center"/>
    </xf>
    <xf numFmtId="0" fontId="12" fillId="0" borderId="15" xfId="18" applyFont="1" applyBorder="1"/>
    <xf numFmtId="3" fontId="12" fillId="0" borderId="17" xfId="18" applyNumberFormat="1" applyFont="1" applyBorder="1"/>
    <xf numFmtId="166" fontId="12" fillId="0" borderId="17" xfId="18" applyNumberFormat="1" applyFont="1" applyBorder="1" applyAlignment="1">
      <alignment horizontal="center"/>
    </xf>
    <xf numFmtId="166" fontId="12" fillId="0" borderId="23" xfId="18" applyNumberFormat="1" applyFont="1" applyBorder="1" applyAlignment="1">
      <alignment horizontal="center"/>
    </xf>
    <xf numFmtId="3" fontId="12" fillId="0" borderId="15" xfId="18" applyNumberFormat="1" applyFont="1" applyBorder="1"/>
    <xf numFmtId="0" fontId="13" fillId="0" borderId="17" xfId="18" applyFont="1" applyBorder="1"/>
    <xf numFmtId="167" fontId="13" fillId="0" borderId="17" xfId="18" applyNumberFormat="1" applyFont="1" applyBorder="1" applyAlignment="1">
      <alignment horizontal="right"/>
    </xf>
    <xf numFmtId="167" fontId="13" fillId="0" borderId="13" xfId="18" applyNumberFormat="1" applyFont="1" applyBorder="1" applyAlignment="1">
      <alignment horizontal="right"/>
    </xf>
    <xf numFmtId="3" fontId="13" fillId="0" borderId="17" xfId="18" applyNumberFormat="1" applyFont="1" applyBorder="1"/>
    <xf numFmtId="3" fontId="12" fillId="0" borderId="25" xfId="18" applyNumberFormat="1" applyFont="1" applyBorder="1"/>
    <xf numFmtId="3" fontId="12" fillId="0" borderId="26" xfId="18" applyNumberFormat="1" applyFont="1" applyBorder="1"/>
    <xf numFmtId="3" fontId="12" fillId="0" borderId="27" xfId="18" applyNumberFormat="1" applyFont="1" applyBorder="1"/>
    <xf numFmtId="3" fontId="12" fillId="0" borderId="29" xfId="18" applyNumberFormat="1" applyFont="1" applyBorder="1"/>
    <xf numFmtId="167" fontId="12" fillId="0" borderId="25" xfId="18" applyNumberFormat="1" applyFont="1" applyBorder="1" applyAlignment="1">
      <alignment horizontal="right"/>
    </xf>
    <xf numFmtId="167" fontId="12" fillId="0" borderId="30" xfId="18" applyNumberFormat="1" applyFont="1" applyBorder="1" applyAlignment="1">
      <alignment horizontal="right"/>
    </xf>
    <xf numFmtId="0" fontId="12" fillId="0" borderId="25" xfId="18" applyFont="1" applyBorder="1"/>
    <xf numFmtId="167" fontId="12" fillId="0" borderId="26" xfId="18" applyNumberFormat="1" applyFont="1" applyBorder="1" applyAlignment="1">
      <alignment horizontal="right"/>
    </xf>
    <xf numFmtId="167" fontId="12" fillId="0" borderId="31" xfId="18" applyNumberFormat="1" applyFont="1" applyBorder="1" applyAlignment="1">
      <alignment horizontal="right"/>
    </xf>
    <xf numFmtId="0" fontId="14" fillId="0" borderId="26" xfId="18" applyFont="1" applyBorder="1"/>
    <xf numFmtId="167" fontId="12" fillId="0" borderId="27" xfId="18" applyNumberFormat="1" applyFont="1" applyFill="1" applyBorder="1" applyAlignment="1">
      <alignment horizontal="right"/>
    </xf>
    <xf numFmtId="167" fontId="12" fillId="0" borderId="32" xfId="18" applyNumberFormat="1" applyFont="1" applyBorder="1" applyAlignment="1">
      <alignment horizontal="right"/>
    </xf>
    <xf numFmtId="0" fontId="12" fillId="0" borderId="27" xfId="18" applyFont="1" applyBorder="1"/>
    <xf numFmtId="0" fontId="12" fillId="0" borderId="25" xfId="18" applyFont="1" applyBorder="1" applyAlignment="1">
      <alignment horizontal="center"/>
    </xf>
    <xf numFmtId="0" fontId="12" fillId="0" borderId="26" xfId="18" applyFont="1" applyBorder="1" applyAlignment="1">
      <alignment horizontal="center"/>
    </xf>
    <xf numFmtId="0" fontId="12" fillId="0" borderId="27" xfId="18" applyFont="1" applyBorder="1" applyAlignment="1">
      <alignment horizontal="center"/>
    </xf>
    <xf numFmtId="0" fontId="12" fillId="0" borderId="34" xfId="18" applyFont="1" applyBorder="1" applyAlignment="1">
      <alignment horizontal="center"/>
    </xf>
    <xf numFmtId="0" fontId="12" fillId="0" borderId="35" xfId="18" applyFont="1" applyBorder="1" applyAlignment="1">
      <alignment horizontal="center"/>
    </xf>
    <xf numFmtId="0" fontId="12" fillId="0" borderId="36" xfId="18" applyFont="1" applyBorder="1" applyAlignment="1">
      <alignment horizontal="center"/>
    </xf>
    <xf numFmtId="166" fontId="12" fillId="0" borderId="25" xfId="18" applyNumberFormat="1" applyFont="1" applyBorder="1" applyAlignment="1">
      <alignment horizontal="center"/>
    </xf>
    <xf numFmtId="166" fontId="12" fillId="0" borderId="27" xfId="18" applyNumberFormat="1" applyFont="1" applyBorder="1" applyAlignment="1">
      <alignment horizontal="center"/>
    </xf>
    <xf numFmtId="0" fontId="21" fillId="0" borderId="25" xfId="18" applyFont="1" applyBorder="1" applyAlignment="1">
      <alignment horizontal="center"/>
    </xf>
    <xf numFmtId="0" fontId="21" fillId="0" borderId="26" xfId="18" applyFont="1" applyBorder="1" applyAlignment="1">
      <alignment horizontal="center"/>
    </xf>
    <xf numFmtId="0" fontId="2" fillId="0" borderId="12" xfId="18" applyFont="1" applyFill="1" applyBorder="1"/>
    <xf numFmtId="3" fontId="25" fillId="0" borderId="17" xfId="18" applyNumberFormat="1" applyFont="1" applyBorder="1"/>
    <xf numFmtId="14" fontId="3" fillId="0" borderId="0" xfId="18" applyNumberFormat="1" applyFont="1"/>
    <xf numFmtId="0" fontId="2" fillId="0" borderId="17" xfId="18" applyFont="1" applyBorder="1" applyAlignment="1">
      <alignment horizontal="center"/>
    </xf>
    <xf numFmtId="14" fontId="2" fillId="0" borderId="23" xfId="18" applyNumberFormat="1" applyFont="1" applyBorder="1" applyAlignment="1">
      <alignment horizontal="center"/>
    </xf>
    <xf numFmtId="0" fontId="12" fillId="0" borderId="13" xfId="18" applyFont="1" applyBorder="1"/>
    <xf numFmtId="0" fontId="12" fillId="0" borderId="14" xfId="18" applyFont="1" applyBorder="1"/>
    <xf numFmtId="0" fontId="20" fillId="0" borderId="13" xfId="5" applyFont="1" applyBorder="1" applyAlignment="1" applyProtection="1"/>
    <xf numFmtId="0" fontId="12" fillId="0" borderId="13" xfId="18" applyFont="1" applyBorder="1" applyAlignment="1">
      <alignment horizontal="center"/>
    </xf>
    <xf numFmtId="10" fontId="12" fillId="0" borderId="26" xfId="24" applyNumberFormat="1" applyFont="1" applyBorder="1" applyAlignment="1">
      <alignment horizontal="center"/>
    </xf>
    <xf numFmtId="0" fontId="2" fillId="0" borderId="19" xfId="18" applyFont="1" applyFill="1" applyBorder="1" applyAlignment="1">
      <alignment horizontal="left"/>
    </xf>
    <xf numFmtId="0" fontId="2" fillId="0" borderId="11" xfId="18" applyFont="1" applyFill="1" applyBorder="1"/>
    <xf numFmtId="0" fontId="2" fillId="0" borderId="21" xfId="18" applyFont="1" applyFill="1" applyBorder="1"/>
    <xf numFmtId="10" fontId="2" fillId="0" borderId="17" xfId="18" applyNumberFormat="1" applyFont="1" applyFill="1" applyBorder="1"/>
    <xf numFmtId="10" fontId="2" fillId="0" borderId="10" xfId="18" applyNumberFormat="1" applyFont="1" applyFill="1" applyBorder="1"/>
    <xf numFmtId="10" fontId="2" fillId="0" borderId="12" xfId="18" applyNumberFormat="1" applyFont="1" applyFill="1" applyBorder="1"/>
    <xf numFmtId="10" fontId="2" fillId="0" borderId="23" xfId="18" applyNumberFormat="1" applyFont="1" applyFill="1" applyBorder="1"/>
    <xf numFmtId="0" fontId="2" fillId="0" borderId="10" xfId="18" applyFont="1" applyBorder="1"/>
    <xf numFmtId="0" fontId="2" fillId="0" borderId="25" xfId="18" applyFont="1" applyBorder="1"/>
    <xf numFmtId="10" fontId="2" fillId="0" borderId="25" xfId="18" applyNumberFormat="1" applyFont="1" applyBorder="1" applyAlignment="1">
      <alignment horizontal="center"/>
    </xf>
    <xf numFmtId="0" fontId="2" fillId="0" borderId="26" xfId="18" applyFont="1" applyBorder="1"/>
    <xf numFmtId="10" fontId="2" fillId="0" borderId="26" xfId="18" applyNumberFormat="1" applyFont="1" applyBorder="1" applyAlignment="1">
      <alignment horizontal="center"/>
    </xf>
    <xf numFmtId="0" fontId="2" fillId="0" borderId="23" xfId="18" applyFont="1" applyBorder="1"/>
    <xf numFmtId="0" fontId="2" fillId="0" borderId="27" xfId="18" applyFont="1" applyBorder="1"/>
    <xf numFmtId="10" fontId="2" fillId="0" borderId="27" xfId="18" applyNumberFormat="1" applyFont="1" applyBorder="1" applyAlignment="1">
      <alignment horizontal="center"/>
    </xf>
    <xf numFmtId="10" fontId="8" fillId="0" borderId="17" xfId="18" applyNumberFormat="1" applyFont="1" applyBorder="1" applyAlignment="1">
      <alignment horizontal="center"/>
    </xf>
    <xf numFmtId="0" fontId="15" fillId="0" borderId="0" xfId="18" applyFont="1" applyAlignment="1">
      <alignment horizontal="center"/>
    </xf>
    <xf numFmtId="0" fontId="2" fillId="0" borderId="17" xfId="18" applyFont="1" applyBorder="1"/>
    <xf numFmtId="0" fontId="2" fillId="0" borderId="25" xfId="18" applyFont="1" applyBorder="1" applyAlignment="1">
      <alignment horizontal="center"/>
    </xf>
    <xf numFmtId="0" fontId="2" fillId="0" borderId="26" xfId="18" applyFont="1" applyBorder="1" applyAlignment="1">
      <alignment horizontal="center"/>
    </xf>
    <xf numFmtId="0" fontId="15" fillId="0" borderId="27" xfId="18" applyFont="1" applyBorder="1" applyAlignment="1">
      <alignment horizontal="center"/>
    </xf>
    <xf numFmtId="0" fontId="2" fillId="0" borderId="0" xfId="18" applyFont="1" applyAlignment="1">
      <alignment horizontal="center" vertical="center"/>
    </xf>
    <xf numFmtId="3" fontId="3" fillId="0" borderId="25" xfId="18" applyNumberFormat="1" applyFont="1" applyBorder="1"/>
    <xf numFmtId="3" fontId="3" fillId="0" borderId="27" xfId="18" applyNumberFormat="1" applyFont="1" applyBorder="1"/>
    <xf numFmtId="3" fontId="3" fillId="0" borderId="26" xfId="18" applyNumberFormat="1" applyFont="1" applyBorder="1"/>
    <xf numFmtId="0" fontId="2" fillId="0" borderId="0" xfId="18" quotePrefix="1" applyFont="1"/>
    <xf numFmtId="0" fontId="22" fillId="0" borderId="0" xfId="18" applyFont="1" applyAlignment="1">
      <alignment horizontal="center"/>
    </xf>
    <xf numFmtId="0" fontId="15" fillId="0" borderId="0" xfId="18" applyFont="1"/>
    <xf numFmtId="3" fontId="2" fillId="0" borderId="17" xfId="24" applyNumberFormat="1" applyFont="1" applyFill="1" applyBorder="1" applyAlignment="1">
      <alignment horizontal="right" indent="1"/>
    </xf>
    <xf numFmtId="166" fontId="2" fillId="0" borderId="17" xfId="24" applyNumberFormat="1" applyFont="1" applyFill="1" applyBorder="1" applyAlignment="1">
      <alignment horizontal="right" indent="1"/>
    </xf>
    <xf numFmtId="3" fontId="8" fillId="0" borderId="44" xfId="24" applyNumberFormat="1" applyFont="1" applyFill="1" applyBorder="1" applyAlignment="1">
      <alignment horizontal="right" indent="1"/>
    </xf>
    <xf numFmtId="166" fontId="8" fillId="0" borderId="45" xfId="24" applyNumberFormat="1" applyFont="1" applyFill="1" applyBorder="1" applyAlignment="1">
      <alignment horizontal="right" indent="1"/>
    </xf>
    <xf numFmtId="0" fontId="8" fillId="0" borderId="0" xfId="15" applyFont="1" applyAlignment="1">
      <alignment horizontal="center"/>
    </xf>
    <xf numFmtId="0" fontId="10" fillId="0" borderId="17" xfId="15" applyFont="1" applyFill="1" applyBorder="1" applyAlignment="1">
      <alignment horizontal="center" vertical="center"/>
    </xf>
    <xf numFmtId="166" fontId="22" fillId="0" borderId="22" xfId="24" applyNumberFormat="1" applyFont="1" applyFill="1" applyBorder="1" applyAlignment="1">
      <alignment horizontal="right" indent="1"/>
    </xf>
    <xf numFmtId="166" fontId="22" fillId="0" borderId="17" xfId="24" applyNumberFormat="1" applyFont="1" applyFill="1" applyBorder="1" applyAlignment="1">
      <alignment horizontal="right" indent="1"/>
    </xf>
    <xf numFmtId="166" fontId="22" fillId="0" borderId="14" xfId="24" applyNumberFormat="1" applyFont="1" applyFill="1" applyBorder="1" applyAlignment="1">
      <alignment horizontal="right" indent="1"/>
    </xf>
    <xf numFmtId="166" fontId="15" fillId="0" borderId="17" xfId="24" applyNumberFormat="1" applyFont="1" applyFill="1" applyBorder="1" applyAlignment="1">
      <alignment horizontal="right" indent="1"/>
    </xf>
    <xf numFmtId="166" fontId="22" fillId="0" borderId="11" xfId="24" applyNumberFormat="1" applyFont="1" applyFill="1" applyBorder="1" applyAlignment="1">
      <alignment horizontal="right" indent="1"/>
    </xf>
    <xf numFmtId="166" fontId="22" fillId="0" borderId="10" xfId="24" applyNumberFormat="1" applyFont="1" applyFill="1" applyBorder="1" applyAlignment="1">
      <alignment horizontal="right" indent="1"/>
    </xf>
    <xf numFmtId="166" fontId="2" fillId="0" borderId="10" xfId="24" applyNumberFormat="1" applyFont="1" applyFill="1" applyBorder="1" applyAlignment="1">
      <alignment horizontal="right" indent="1"/>
    </xf>
    <xf numFmtId="166" fontId="22" fillId="0" borderId="44" xfId="24" applyNumberFormat="1" applyFont="1" applyFill="1" applyBorder="1" applyAlignment="1">
      <alignment horizontal="right" indent="1"/>
    </xf>
    <xf numFmtId="166" fontId="2" fillId="0" borderId="45" xfId="24" applyNumberFormat="1" applyFont="1" applyFill="1" applyBorder="1" applyAlignment="1">
      <alignment horizontal="right" indent="1"/>
    </xf>
    <xf numFmtId="0" fontId="2" fillId="0" borderId="47" xfId="13" applyFont="1" applyBorder="1"/>
    <xf numFmtId="0" fontId="2" fillId="0" borderId="48" xfId="13" applyBorder="1"/>
    <xf numFmtId="0" fontId="2" fillId="0" borderId="50" xfId="13" applyBorder="1"/>
    <xf numFmtId="0" fontId="2" fillId="0" borderId="51" xfId="13" applyBorder="1"/>
    <xf numFmtId="0" fontId="2" fillId="0" borderId="49" xfId="13" applyBorder="1"/>
    <xf numFmtId="0" fontId="2" fillId="0" borderId="1" xfId="13" applyBorder="1" applyAlignment="1">
      <alignment horizontal="center"/>
    </xf>
    <xf numFmtId="170" fontId="2" fillId="0" borderId="1" xfId="13" applyNumberFormat="1" applyBorder="1" applyAlignment="1">
      <alignment horizontal="center"/>
    </xf>
    <xf numFmtId="14" fontId="2" fillId="0" borderId="1" xfId="13" applyNumberFormat="1" applyBorder="1" applyAlignment="1">
      <alignment horizontal="center"/>
    </xf>
    <xf numFmtId="2" fontId="2" fillId="0" borderId="1" xfId="13" applyNumberFormat="1" applyBorder="1" applyAlignment="1">
      <alignment horizontal="center"/>
    </xf>
    <xf numFmtId="170" fontId="2" fillId="0" borderId="0" xfId="13" applyNumberFormat="1"/>
    <xf numFmtId="0" fontId="65" fillId="0" borderId="50" xfId="13" applyFont="1" applyBorder="1"/>
    <xf numFmtId="0" fontId="65" fillId="0" borderId="51" xfId="13" applyFont="1" applyBorder="1"/>
    <xf numFmtId="0" fontId="65" fillId="0" borderId="53" xfId="13" applyFont="1" applyBorder="1"/>
    <xf numFmtId="0" fontId="65" fillId="0" borderId="54" xfId="13" applyFont="1" applyBorder="1"/>
    <xf numFmtId="0" fontId="65" fillId="0" borderId="55" xfId="13" applyFont="1" applyBorder="1"/>
    <xf numFmtId="0" fontId="65" fillId="0" borderId="56" xfId="13" applyFont="1" applyBorder="1"/>
    <xf numFmtId="0" fontId="65" fillId="0" borderId="57" xfId="13" applyFont="1" applyBorder="1"/>
    <xf numFmtId="0" fontId="65" fillId="0" borderId="58" xfId="13" applyFont="1" applyBorder="1"/>
    <xf numFmtId="0" fontId="65" fillId="0" borderId="59" xfId="13" applyFont="1" applyBorder="1"/>
    <xf numFmtId="0" fontId="66" fillId="0" borderId="54" xfId="13" applyFont="1" applyBorder="1"/>
    <xf numFmtId="0" fontId="66" fillId="0" borderId="55" xfId="13" applyFont="1" applyBorder="1"/>
    <xf numFmtId="0" fontId="66" fillId="0" borderId="56" xfId="13" applyFont="1" applyBorder="1"/>
    <xf numFmtId="170" fontId="8" fillId="0" borderId="1" xfId="13" quotePrefix="1" applyNumberFormat="1" applyFont="1" applyBorder="1" applyAlignment="1">
      <alignment horizontal="center" wrapText="1"/>
    </xf>
    <xf numFmtId="2" fontId="8" fillId="0" borderId="1" xfId="13" quotePrefix="1" applyNumberFormat="1" applyFont="1" applyBorder="1" applyAlignment="1">
      <alignment horizontal="center" wrapText="1"/>
    </xf>
    <xf numFmtId="0" fontId="8" fillId="0" borderId="53" xfId="13" applyFont="1" applyBorder="1"/>
    <xf numFmtId="170" fontId="8" fillId="0" borderId="1" xfId="13" quotePrefix="1" applyNumberFormat="1" applyFont="1" applyBorder="1" applyAlignment="1">
      <alignment horizontal="center"/>
    </xf>
    <xf numFmtId="170" fontId="2" fillId="0" borderId="1" xfId="13" applyNumberFormat="1" applyBorder="1" applyAlignment="1"/>
    <xf numFmtId="0" fontId="43" fillId="0" borderId="65" xfId="4" applyFill="1" applyBorder="1" applyAlignment="1">
      <alignment horizontal="center" vertical="center" wrapText="1"/>
    </xf>
    <xf numFmtId="0" fontId="48" fillId="0" borderId="64" xfId="0" applyFont="1" applyFill="1" applyBorder="1" applyAlignment="1">
      <alignment horizontal="center" vertical="center" wrapText="1"/>
    </xf>
    <xf numFmtId="0" fontId="0" fillId="0" borderId="5" xfId="0" applyFont="1" applyBorder="1"/>
    <xf numFmtId="0" fontId="0" fillId="0" borderId="6" xfId="0" applyFont="1" applyBorder="1"/>
    <xf numFmtId="0" fontId="0" fillId="0" borderId="8" xfId="0" applyFont="1" applyFill="1" applyBorder="1"/>
    <xf numFmtId="0" fontId="54" fillId="0" borderId="8" xfId="0" applyFont="1" applyBorder="1" applyAlignment="1">
      <alignment horizontal="center"/>
    </xf>
    <xf numFmtId="0" fontId="69" fillId="0" borderId="0" xfId="0" applyFont="1"/>
    <xf numFmtId="0" fontId="70" fillId="0" borderId="0" xfId="0" applyFont="1" applyAlignment="1">
      <alignment horizontal="left"/>
    </xf>
    <xf numFmtId="0" fontId="69" fillId="0" borderId="0" xfId="0" applyFont="1" applyAlignment="1">
      <alignment horizontal="center" vertical="center"/>
    </xf>
    <xf numFmtId="0" fontId="69" fillId="0" borderId="0" xfId="0" applyFont="1" applyFill="1" applyAlignment="1">
      <alignment vertical="center" wrapText="1"/>
    </xf>
    <xf numFmtId="0" fontId="71" fillId="0" borderId="18" xfId="0" applyFont="1" applyBorder="1" applyAlignment="1">
      <alignment horizontal="center" vertical="center" wrapText="1"/>
    </xf>
    <xf numFmtId="0" fontId="71" fillId="0" borderId="0" xfId="0" applyFont="1"/>
    <xf numFmtId="0" fontId="44" fillId="0" borderId="0" xfId="0" applyFont="1"/>
    <xf numFmtId="0" fontId="69" fillId="0" borderId="17" xfId="0" applyFont="1" applyBorder="1" applyAlignment="1">
      <alignment horizontal="center" vertical="center" wrapText="1"/>
    </xf>
    <xf numFmtId="0" fontId="0" fillId="0" borderId="17" xfId="0" applyFont="1" applyFill="1" applyBorder="1" applyAlignment="1">
      <alignment vertical="center" wrapText="1"/>
    </xf>
    <xf numFmtId="0" fontId="69" fillId="0" borderId="17" xfId="0" applyFont="1" applyBorder="1" applyAlignment="1">
      <alignment horizontal="center" vertical="center"/>
    </xf>
    <xf numFmtId="0" fontId="69" fillId="0" borderId="0" xfId="0" applyFont="1" applyAlignment="1">
      <alignment horizontal="center" vertical="center" wrapText="1"/>
    </xf>
    <xf numFmtId="0" fontId="0" fillId="0" borderId="0" xfId="0" applyAlignment="1">
      <alignment horizontal="center" vertical="center" wrapText="1"/>
    </xf>
    <xf numFmtId="0" fontId="50" fillId="0" borderId="0" xfId="0" applyFont="1" applyAlignment="1">
      <alignment horizontal="left" vertical="center"/>
    </xf>
    <xf numFmtId="0" fontId="73" fillId="0" borderId="0" xfId="0" applyFont="1" applyAlignment="1">
      <alignment horizontal="center" vertical="center"/>
    </xf>
    <xf numFmtId="0" fontId="44" fillId="0" borderId="0" xfId="0" applyFont="1" applyAlignment="1">
      <alignment horizontal="center" vertical="center" wrapText="1"/>
    </xf>
    <xf numFmtId="0" fontId="47" fillId="0" borderId="0" xfId="0" applyFont="1" applyAlignment="1" applyProtection="1">
      <alignment horizontal="center" vertical="center" wrapText="1"/>
      <protection locked="0"/>
    </xf>
    <xf numFmtId="0" fontId="0" fillId="0" borderId="66" xfId="0" applyBorder="1" applyAlignment="1">
      <alignment horizontal="center" vertical="center" wrapText="1"/>
    </xf>
    <xf numFmtId="0" fontId="43" fillId="0" borderId="13" xfId="4" applyBorder="1" applyAlignment="1" applyProtection="1"/>
    <xf numFmtId="0" fontId="51" fillId="0" borderId="0" xfId="0" applyFont="1"/>
    <xf numFmtId="0" fontId="2" fillId="0" borderId="73" xfId="18" applyFont="1" applyBorder="1" applyAlignment="1">
      <alignment horizontal="center"/>
    </xf>
    <xf numFmtId="167" fontId="2" fillId="0" borderId="25" xfId="18" applyNumberFormat="1" applyFont="1" applyBorder="1" applyAlignment="1">
      <alignment horizontal="center"/>
    </xf>
    <xf numFmtId="0" fontId="2" fillId="0" borderId="34" xfId="18" applyFont="1" applyBorder="1" applyAlignment="1">
      <alignment horizontal="center"/>
    </xf>
    <xf numFmtId="3" fontId="12" fillId="0" borderId="28" xfId="18" applyNumberFormat="1" applyFont="1" applyFill="1" applyBorder="1"/>
    <xf numFmtId="0" fontId="75" fillId="0" borderId="0" xfId="18" applyFont="1"/>
    <xf numFmtId="14" fontId="0" fillId="0" borderId="0" xfId="0" applyNumberFormat="1"/>
    <xf numFmtId="168" fontId="0" fillId="0" borderId="0" xfId="8" applyNumberFormat="1" applyFont="1"/>
    <xf numFmtId="3" fontId="12" fillId="0" borderId="25" xfId="18" applyNumberFormat="1" applyFont="1" applyBorder="1" applyAlignment="1">
      <alignment horizontal="right"/>
    </xf>
    <xf numFmtId="10" fontId="2" fillId="0" borderId="10" xfId="23" applyNumberFormat="1" applyFont="1" applyBorder="1" applyAlignment="1">
      <alignment horizontal="right"/>
    </xf>
    <xf numFmtId="167" fontId="12" fillId="0" borderId="38" xfId="18" applyNumberFormat="1" applyFont="1" applyFill="1" applyBorder="1" applyAlignment="1">
      <alignment horizontal="right"/>
    </xf>
    <xf numFmtId="167" fontId="12" fillId="0" borderId="39" xfId="18" applyNumberFormat="1" applyFont="1" applyFill="1" applyBorder="1" applyAlignment="1">
      <alignment horizontal="right"/>
    </xf>
    <xf numFmtId="0" fontId="75" fillId="0" borderId="0" xfId="18" applyFont="1" applyAlignment="1">
      <alignment horizontal="center"/>
    </xf>
    <xf numFmtId="10" fontId="2" fillId="0" borderId="23" xfId="18" applyNumberFormat="1" applyFont="1" applyBorder="1" applyAlignment="1">
      <alignment horizontal="center"/>
    </xf>
    <xf numFmtId="10" fontId="2" fillId="0" borderId="10" xfId="23" applyNumberFormat="1" applyFont="1" applyBorder="1" applyAlignment="1">
      <alignment horizontal="center"/>
    </xf>
    <xf numFmtId="3" fontId="3" fillId="0" borderId="73" xfId="18" applyNumberFormat="1" applyFont="1" applyBorder="1"/>
    <xf numFmtId="14" fontId="2" fillId="0" borderId="27" xfId="18" applyNumberFormat="1" applyFont="1" applyBorder="1" applyAlignment="1">
      <alignment horizontal="right"/>
    </xf>
    <xf numFmtId="0" fontId="0" fillId="0" borderId="0" xfId="0" applyAlignment="1">
      <alignment horizontal="center"/>
    </xf>
    <xf numFmtId="0" fontId="50" fillId="0" borderId="0" xfId="0" applyFont="1" applyAlignment="1">
      <alignment horizontal="center" vertical="center"/>
    </xf>
    <xf numFmtId="0" fontId="76" fillId="0" borderId="0" xfId="0" applyFont="1" applyAlignment="1">
      <alignment horizontal="center"/>
    </xf>
    <xf numFmtId="166" fontId="0" fillId="0" borderId="0" xfId="23" applyNumberFormat="1" applyFont="1"/>
    <xf numFmtId="166" fontId="0" fillId="0" borderId="0" xfId="23" applyNumberFormat="1" applyFont="1" applyAlignment="1">
      <alignment horizontal="center"/>
    </xf>
    <xf numFmtId="0" fontId="42" fillId="0" borderId="0" xfId="0" applyFont="1" applyAlignment="1">
      <alignment horizontal="center"/>
    </xf>
    <xf numFmtId="9" fontId="0" fillId="0" borderId="0" xfId="23" applyNumberFormat="1" applyFont="1" applyAlignment="1">
      <alignment horizontal="center"/>
    </xf>
    <xf numFmtId="167" fontId="0" fillId="0" borderId="0" xfId="0" applyNumberFormat="1" applyAlignment="1">
      <alignment horizontal="center"/>
    </xf>
    <xf numFmtId="3" fontId="0" fillId="0" borderId="0" xfId="0" applyNumberFormat="1" applyAlignment="1">
      <alignment horizontal="center"/>
    </xf>
    <xf numFmtId="10" fontId="0" fillId="0" borderId="0" xfId="0" applyNumberFormat="1" applyAlignment="1">
      <alignment horizontal="center"/>
    </xf>
    <xf numFmtId="1" fontId="0" fillId="0" borderId="0" xfId="0" applyNumberFormat="1" applyAlignment="1">
      <alignment horizontal="center"/>
    </xf>
    <xf numFmtId="3" fontId="0" fillId="0" borderId="0" xfId="0" applyNumberFormat="1"/>
    <xf numFmtId="9" fontId="0" fillId="0" borderId="0" xfId="0" applyNumberFormat="1"/>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2" fontId="0" fillId="0" borderId="0" xfId="0" applyNumberFormat="1" applyAlignment="1">
      <alignment horizontal="center"/>
    </xf>
    <xf numFmtId="4" fontId="0" fillId="0" borderId="0" xfId="0" applyNumberFormat="1" applyAlignment="1">
      <alignment horizontal="center"/>
    </xf>
    <xf numFmtId="0" fontId="43" fillId="0" borderId="77" xfId="4" quotePrefix="1" applyFill="1" applyBorder="1" applyAlignment="1">
      <alignment horizontal="center"/>
    </xf>
    <xf numFmtId="0" fontId="43" fillId="0" borderId="77" xfId="4" quotePrefix="1" applyFill="1" applyBorder="1" applyAlignment="1">
      <alignment horizontal="right"/>
    </xf>
    <xf numFmtId="0" fontId="43" fillId="0" borderId="76" xfId="4" applyFill="1" applyBorder="1" applyAlignment="1">
      <alignment horizontal="right"/>
    </xf>
    <xf numFmtId="0" fontId="43" fillId="0" borderId="74" xfId="4" quotePrefix="1" applyFill="1" applyBorder="1" applyAlignment="1">
      <alignment horizontal="center"/>
    </xf>
    <xf numFmtId="0" fontId="43" fillId="0" borderId="74" xfId="4" applyFill="1" applyBorder="1" applyAlignment="1">
      <alignment horizontal="center"/>
    </xf>
    <xf numFmtId="0" fontId="43" fillId="0" borderId="74" xfId="4" applyBorder="1" applyAlignment="1">
      <alignment horizontal="center" vertical="center" wrapText="1"/>
    </xf>
    <xf numFmtId="0" fontId="43" fillId="0" borderId="76" xfId="4" applyBorder="1" applyAlignment="1">
      <alignment horizontal="center" vertical="center" wrapText="1"/>
    </xf>
    <xf numFmtId="0" fontId="43" fillId="0" borderId="0" xfId="4" quotePrefix="1" applyFill="1" applyAlignment="1">
      <alignment horizontal="center" wrapText="1"/>
    </xf>
    <xf numFmtId="3" fontId="43" fillId="0" borderId="0" xfId="4" quotePrefix="1" applyNumberFormat="1" applyAlignment="1" applyProtection="1">
      <alignment horizontal="center" vertical="center" wrapText="1"/>
      <protection locked="0"/>
    </xf>
    <xf numFmtId="0" fontId="0" fillId="0" borderId="0" xfId="0" applyAlignment="1">
      <alignment horizontal="center" wrapText="1"/>
    </xf>
    <xf numFmtId="166" fontId="0" fillId="0" borderId="0" xfId="0" applyNumberFormat="1" applyAlignment="1">
      <alignment vertical="center"/>
    </xf>
    <xf numFmtId="0" fontId="78" fillId="0" borderId="0" xfId="0" applyFont="1"/>
    <xf numFmtId="0" fontId="78" fillId="0" borderId="0" xfId="0" applyFont="1" applyAlignment="1">
      <alignment horizontal="center" vertical="center" wrapText="1"/>
    </xf>
    <xf numFmtId="0" fontId="39" fillId="0" borderId="17" xfId="0" applyFont="1" applyBorder="1" applyAlignment="1">
      <alignment vertical="center" wrapText="1"/>
    </xf>
    <xf numFmtId="0" fontId="81" fillId="0" borderId="0" xfId="0" applyFont="1" applyAlignment="1" applyProtection="1">
      <alignment horizontal="right" vertical="center" wrapText="1"/>
      <protection locked="0"/>
    </xf>
    <xf numFmtId="0" fontId="81" fillId="0" borderId="0" xfId="0" applyFont="1" applyAlignment="1">
      <alignment horizontal="center" vertical="center" wrapText="1"/>
    </xf>
    <xf numFmtId="0" fontId="39" fillId="0" borderId="0" xfId="0" applyFont="1" applyAlignment="1">
      <alignment horizontal="center" vertical="center" wrapText="1"/>
    </xf>
    <xf numFmtId="0" fontId="39" fillId="0" borderId="0" xfId="0" applyFont="1" applyAlignment="1" applyProtection="1">
      <alignment horizontal="center" vertical="center" wrapText="1"/>
      <protection locked="0"/>
    </xf>
    <xf numFmtId="0" fontId="81" fillId="0" borderId="0" xfId="0" applyFont="1" applyAlignment="1" applyProtection="1">
      <alignment horizontal="center" vertical="center" wrapText="1"/>
      <protection locked="0"/>
    </xf>
    <xf numFmtId="0" fontId="39" fillId="0" borderId="0" xfId="0" quotePrefix="1" applyFont="1" applyAlignment="1" applyProtection="1">
      <alignment horizontal="center" vertical="center" wrapText="1"/>
      <protection locked="0"/>
    </xf>
    <xf numFmtId="0" fontId="81" fillId="0" borderId="0" xfId="0" applyFont="1" applyAlignment="1">
      <alignment horizontal="right" vertical="center" wrapText="1"/>
    </xf>
    <xf numFmtId="0" fontId="39" fillId="0" borderId="0" xfId="0" quotePrefix="1" applyFont="1" applyAlignment="1">
      <alignment horizontal="center" vertical="center" wrapText="1"/>
    </xf>
    <xf numFmtId="173" fontId="39" fillId="0" borderId="0" xfId="0" applyNumberFormat="1" applyFont="1" applyAlignment="1" applyProtection="1">
      <alignment horizontal="center" vertical="center" wrapText="1"/>
      <protection locked="0"/>
    </xf>
    <xf numFmtId="166" fontId="39" fillId="0" borderId="0" xfId="0" applyNumberFormat="1" applyFont="1" applyAlignment="1">
      <alignment horizontal="center" vertical="center" wrapText="1"/>
    </xf>
    <xf numFmtId="173" fontId="39" fillId="0" borderId="0" xfId="0" applyNumberFormat="1" applyFont="1" applyAlignment="1">
      <alignment horizontal="center" vertical="center" wrapText="1"/>
    </xf>
    <xf numFmtId="0" fontId="39" fillId="0" borderId="0" xfId="0" quotePrefix="1" applyFont="1" applyAlignment="1">
      <alignment horizontal="right" vertical="center" wrapText="1"/>
    </xf>
    <xf numFmtId="0" fontId="83" fillId="0" borderId="61" xfId="4" quotePrefix="1" applyFont="1" applyFill="1" applyBorder="1" applyAlignment="1">
      <alignment horizontal="center" vertical="center" wrapText="1"/>
    </xf>
    <xf numFmtId="0" fontId="81" fillId="0" borderId="0" xfId="0" quotePrefix="1" applyFont="1" applyAlignment="1">
      <alignment horizontal="center" vertical="center" wrapText="1"/>
    </xf>
    <xf numFmtId="0" fontId="81" fillId="0" borderId="0" xfId="0" quotePrefix="1" applyFont="1" applyAlignment="1">
      <alignment horizontal="right" vertical="center" wrapText="1"/>
    </xf>
    <xf numFmtId="0" fontId="6" fillId="0" borderId="0" xfId="0" applyNumberFormat="1" applyFont="1" applyFill="1" applyAlignment="1" applyProtection="1">
      <alignment vertical="center" wrapText="1"/>
    </xf>
    <xf numFmtId="0" fontId="7" fillId="0" borderId="0" xfId="0" applyNumberFormat="1" applyFont="1" applyFill="1" applyAlignment="1" applyProtection="1">
      <alignment horizontal="left" vertical="center" wrapText="1"/>
    </xf>
    <xf numFmtId="0" fontId="7" fillId="0" borderId="0" xfId="0" applyNumberFormat="1" applyFont="1" applyFill="1" applyAlignment="1" applyProtection="1">
      <alignment wrapText="1"/>
    </xf>
    <xf numFmtId="0" fontId="7" fillId="0" borderId="0" xfId="0" applyNumberFormat="1" applyFont="1" applyFill="1" applyAlignment="1" applyProtection="1">
      <alignment vertical="center" wrapText="1"/>
    </xf>
    <xf numFmtId="0" fontId="52" fillId="0" borderId="0" xfId="0" applyNumberFormat="1" applyFont="1" applyFill="1" applyAlignment="1" applyProtection="1">
      <alignment horizontal="center"/>
    </xf>
    <xf numFmtId="0" fontId="53" fillId="0" borderId="0" xfId="0" applyNumberFormat="1" applyFont="1" applyFill="1" applyAlignment="1" applyProtection="1">
      <alignment horizontal="center" vertical="center"/>
    </xf>
    <xf numFmtId="0" fontId="59" fillId="0" borderId="0" xfId="0" applyNumberFormat="1" applyFont="1" applyFill="1" applyAlignment="1" applyProtection="1">
      <alignment horizontal="center" vertical="center"/>
    </xf>
    <xf numFmtId="14" fontId="59" fillId="0" borderId="0" xfId="0" applyNumberFormat="1" applyFont="1" applyFill="1" applyAlignment="1" applyProtection="1"/>
    <xf numFmtId="0" fontId="54" fillId="0" borderId="0" xfId="0" applyNumberFormat="1" applyFont="1" applyFill="1" applyAlignment="1" applyProtection="1">
      <alignment horizontal="center"/>
    </xf>
    <xf numFmtId="0" fontId="55" fillId="0" borderId="0" xfId="0" applyNumberFormat="1" applyFont="1" applyFill="1" applyAlignment="1" applyProtection="1"/>
    <xf numFmtId="0" fontId="0" fillId="14" borderId="0" xfId="0" applyNumberFormat="1" applyFill="1" applyAlignment="1" applyProtection="1"/>
    <xf numFmtId="17" fontId="54" fillId="0" borderId="0" xfId="0" applyNumberFormat="1" applyFont="1" applyFill="1" applyAlignment="1" applyProtection="1">
      <alignment horizontal="center"/>
    </xf>
    <xf numFmtId="0" fontId="51" fillId="0" borderId="0" xfId="0" quotePrefix="1" applyNumberFormat="1" applyFont="1" applyFill="1" applyAlignment="1" applyProtection="1">
      <alignment horizontal="right"/>
    </xf>
    <xf numFmtId="0" fontId="53" fillId="0" borderId="0" xfId="0" applyNumberFormat="1" applyFont="1" applyFill="1" applyAlignment="1" applyProtection="1">
      <alignment horizontal="left" vertical="center"/>
    </xf>
    <xf numFmtId="0" fontId="49" fillId="8" borderId="13" xfId="0" applyNumberFormat="1" applyFont="1" applyFill="1" applyBorder="1" applyAlignment="1" applyProtection="1">
      <alignment horizontal="center" vertical="center" wrapText="1"/>
    </xf>
    <xf numFmtId="0" fontId="49" fillId="8" borderId="15" xfId="0" applyNumberFormat="1" applyFont="1" applyFill="1" applyBorder="1" applyAlignment="1" applyProtection="1">
      <alignment horizontal="center" vertical="center" wrapText="1"/>
    </xf>
    <xf numFmtId="0" fontId="56" fillId="10" borderId="13" xfId="0" quotePrefix="1" applyNumberFormat="1" applyFont="1" applyFill="1" applyBorder="1" applyAlignment="1" applyProtection="1">
      <alignment horizontal="left" vertical="center"/>
    </xf>
    <xf numFmtId="0" fontId="56" fillId="10" borderId="14" xfId="0" quotePrefix="1" applyNumberFormat="1" applyFont="1" applyFill="1" applyBorder="1" applyAlignment="1" applyProtection="1">
      <alignment horizontal="center" vertical="center" wrapText="1"/>
    </xf>
    <xf numFmtId="0" fontId="56" fillId="10" borderId="15" xfId="0" quotePrefix="1" applyNumberFormat="1" applyFont="1" applyFill="1" applyBorder="1" applyAlignment="1" applyProtection="1">
      <alignment horizontal="center" vertical="center" wrapText="1"/>
    </xf>
    <xf numFmtId="0" fontId="57" fillId="9" borderId="13" xfId="0" quotePrefix="1" applyNumberFormat="1" applyFont="1" applyFill="1" applyBorder="1" applyAlignment="1" applyProtection="1">
      <alignment horizontal="left" vertical="center"/>
    </xf>
    <xf numFmtId="0" fontId="57" fillId="9" borderId="17" xfId="0" quotePrefix="1" applyNumberFormat="1" applyFont="1" applyFill="1" applyBorder="1" applyAlignment="1" applyProtection="1">
      <alignment horizontal="left" vertical="center"/>
    </xf>
    <xf numFmtId="0" fontId="45" fillId="8" borderId="13" xfId="0" applyNumberFormat="1" applyFont="1" applyFill="1" applyBorder="1" applyAlignment="1" applyProtection="1">
      <alignment horizontal="center" vertical="center" wrapText="1"/>
    </xf>
    <xf numFmtId="0" fontId="72" fillId="10" borderId="15" xfId="0" quotePrefix="1" applyNumberFormat="1" applyFont="1" applyFill="1" applyBorder="1" applyAlignment="1" applyProtection="1">
      <alignment horizontal="center" vertical="center" wrapText="1"/>
    </xf>
    <xf numFmtId="0" fontId="79" fillId="8" borderId="13" xfId="0" applyNumberFormat="1" applyFont="1" applyFill="1" applyBorder="1" applyAlignment="1" applyProtection="1">
      <alignment horizontal="center" vertical="center" wrapText="1"/>
    </xf>
    <xf numFmtId="0" fontId="49" fillId="11" borderId="66" xfId="0" applyNumberFormat="1" applyFont="1" applyFill="1" applyBorder="1" applyAlignment="1" applyProtection="1">
      <alignment horizontal="center" vertical="center" wrapText="1"/>
    </xf>
    <xf numFmtId="0" fontId="44" fillId="0" borderId="0" xfId="0" applyNumberFormat="1" applyFont="1" applyFill="1" applyAlignment="1" applyProtection="1">
      <alignment vertical="center" wrapText="1"/>
    </xf>
    <xf numFmtId="0" fontId="43" fillId="0" borderId="0" xfId="0" applyNumberFormat="1" applyFont="1" applyFill="1" applyAlignment="1" applyProtection="1">
      <alignment horizontal="left" vertical="center" wrapText="1"/>
    </xf>
    <xf numFmtId="0" fontId="49" fillId="15" borderId="67" xfId="0" applyNumberFormat="1" applyFont="1" applyFill="1" applyBorder="1" applyAlignment="1" applyProtection="1">
      <alignment horizontal="center" vertical="center" wrapText="1"/>
    </xf>
    <xf numFmtId="0" fontId="49" fillId="0" borderId="0" xfId="0" applyNumberFormat="1" applyFont="1" applyFill="1" applyAlignment="1" applyProtection="1">
      <alignment vertical="center" wrapText="1"/>
    </xf>
    <xf numFmtId="0" fontId="0" fillId="0" borderId="0" xfId="0" applyNumberFormat="1" applyFill="1" applyAlignment="1" applyProtection="1">
      <alignment vertical="center" wrapText="1"/>
    </xf>
    <xf numFmtId="0" fontId="0" fillId="0" borderId="0" xfId="0" applyNumberFormat="1" applyFill="1" applyAlignment="1" applyProtection="1">
      <alignment horizontal="left" vertical="center" wrapText="1"/>
    </xf>
    <xf numFmtId="0" fontId="49" fillId="8" borderId="0" xfId="0" applyNumberFormat="1" applyFont="1" applyFill="1" applyAlignment="1" applyProtection="1">
      <alignment horizontal="center" vertical="center" wrapText="1"/>
    </xf>
    <xf numFmtId="0" fontId="49" fillId="8" borderId="0" xfId="0" applyNumberFormat="1" applyFont="1" applyFill="1" applyAlignment="1" applyProtection="1">
      <alignment vertical="center" wrapText="1"/>
    </xf>
    <xf numFmtId="0" fontId="39" fillId="18" borderId="0" xfId="0" applyNumberFormat="1" applyFont="1" applyFill="1" applyAlignment="1" applyProtection="1">
      <alignment horizontal="center" vertical="center" wrapText="1"/>
    </xf>
    <xf numFmtId="0" fontId="48" fillId="18" borderId="0" xfId="0" applyNumberFormat="1" applyFont="1" applyFill="1" applyAlignment="1" applyProtection="1">
      <alignment horizontal="center" vertical="center" wrapText="1"/>
    </xf>
    <xf numFmtId="4" fontId="39" fillId="0" borderId="0" xfId="0" applyNumberFormat="1" applyFont="1" applyFill="1" applyAlignment="1" applyProtection="1">
      <alignment horizontal="center" vertical="center" wrapText="1"/>
      <protection locked="0"/>
    </xf>
    <xf numFmtId="3" fontId="39" fillId="0" borderId="0" xfId="0" applyNumberFormat="1" applyFont="1" applyFill="1" applyAlignment="1" applyProtection="1">
      <alignment horizontal="center" vertical="center" wrapText="1"/>
      <protection locked="0"/>
    </xf>
    <xf numFmtId="166" fontId="39" fillId="0" borderId="0" xfId="0" quotePrefix="1" applyNumberFormat="1" applyFont="1" applyFill="1" applyAlignment="1" applyProtection="1">
      <alignment horizontal="center" vertical="center" wrapText="1"/>
    </xf>
    <xf numFmtId="3" fontId="39" fillId="0" borderId="0" xfId="0" quotePrefix="1" applyNumberFormat="1" applyFont="1" applyFill="1" applyAlignment="1" applyProtection="1">
      <alignment horizontal="center" vertical="center" wrapText="1"/>
      <protection locked="0"/>
    </xf>
    <xf numFmtId="14" fontId="39" fillId="0" borderId="0" xfId="0" quotePrefix="1" applyNumberFormat="1" applyFont="1" applyFill="1" applyAlignment="1" applyProtection="1">
      <alignment horizontal="center" vertical="center" wrapText="1"/>
      <protection locked="0"/>
    </xf>
    <xf numFmtId="3" fontId="39" fillId="0" borderId="0" xfId="0" quotePrefix="1" applyNumberFormat="1" applyFont="1" applyFill="1" applyAlignment="1" applyProtection="1">
      <alignment horizontal="center" vertical="center" wrapText="1"/>
    </xf>
    <xf numFmtId="0" fontId="84" fillId="18" borderId="0" xfId="0" quotePrefix="1" applyNumberFormat="1" applyFont="1" applyFill="1" applyAlignment="1" applyProtection="1">
      <alignment horizontal="center" vertical="center" wrapText="1"/>
    </xf>
    <xf numFmtId="166" fontId="39" fillId="0" borderId="0" xfId="0" applyNumberFormat="1" applyFont="1" applyFill="1" applyAlignment="1" applyProtection="1">
      <alignment horizontal="center" vertical="center" wrapText="1"/>
      <protection locked="0"/>
    </xf>
    <xf numFmtId="0" fontId="84" fillId="18" borderId="0" xfId="0" applyNumberFormat="1" applyFont="1" applyFill="1" applyAlignment="1" applyProtection="1">
      <alignment horizontal="center" vertical="center" wrapText="1"/>
    </xf>
    <xf numFmtId="0" fontId="84" fillId="0" borderId="0" xfId="0" quotePrefix="1" applyNumberFormat="1" applyFont="1" applyFill="1" applyAlignment="1" applyProtection="1">
      <alignment horizontal="center" vertical="center" wrapText="1"/>
    </xf>
    <xf numFmtId="0" fontId="48" fillId="0" borderId="0" xfId="0" quotePrefix="1" applyNumberFormat="1" applyFont="1" applyFill="1" applyAlignment="1" applyProtection="1">
      <alignment horizontal="center" vertical="center" wrapText="1"/>
    </xf>
    <xf numFmtId="166" fontId="39" fillId="0" borderId="0" xfId="0" quotePrefix="1" applyNumberFormat="1" applyFont="1" applyFill="1" applyAlignment="1" applyProtection="1">
      <alignment horizontal="center" vertical="center" wrapText="1"/>
      <protection locked="0"/>
    </xf>
    <xf numFmtId="0" fontId="48" fillId="9" borderId="0" xfId="0" applyNumberFormat="1" applyFont="1" applyFill="1" applyAlignment="1" applyProtection="1">
      <alignment horizontal="center" vertical="center" wrapText="1"/>
    </xf>
    <xf numFmtId="0" fontId="39" fillId="18" borderId="0" xfId="0" quotePrefix="1" applyNumberFormat="1" applyFont="1" applyFill="1" applyAlignment="1" applyProtection="1">
      <alignment horizontal="center" vertical="center" wrapText="1"/>
    </xf>
    <xf numFmtId="0" fontId="81" fillId="18" borderId="0" xfId="0" quotePrefix="1" applyNumberFormat="1" applyFont="1" applyFill="1" applyAlignment="1" applyProtection="1">
      <alignment horizontal="center" vertical="center" wrapText="1"/>
    </xf>
    <xf numFmtId="0" fontId="0" fillId="18" borderId="0" xfId="0" applyNumberFormat="1" applyFill="1" applyAlignment="1" applyProtection="1">
      <alignment horizontal="center" vertical="center" wrapText="1"/>
    </xf>
    <xf numFmtId="0" fontId="81" fillId="18" borderId="0" xfId="0" applyNumberFormat="1" applyFont="1" applyFill="1" applyAlignment="1" applyProtection="1">
      <alignment horizontal="center" vertical="center" wrapText="1"/>
    </xf>
    <xf numFmtId="10" fontId="0" fillId="21" borderId="0" xfId="0" applyNumberFormat="1" applyFill="1" applyAlignment="1" applyProtection="1">
      <alignment horizontal="center"/>
    </xf>
    <xf numFmtId="0" fontId="39" fillId="18" borderId="0" xfId="0" quotePrefix="1" applyNumberFormat="1" applyFont="1" applyFill="1" applyAlignment="1" applyProtection="1">
      <alignment horizontal="right" vertical="center" wrapText="1"/>
    </xf>
    <xf numFmtId="3" fontId="0" fillId="21" borderId="0" xfId="0" applyNumberFormat="1" applyFill="1" applyAlignment="1" applyProtection="1">
      <alignment horizontal="center"/>
    </xf>
    <xf numFmtId="0" fontId="0" fillId="21" borderId="0" xfId="0" applyNumberFormat="1" applyFill="1" applyAlignment="1" applyProtection="1">
      <alignment horizontal="center"/>
    </xf>
    <xf numFmtId="0" fontId="76" fillId="21" borderId="0" xfId="0" applyNumberFormat="1" applyFont="1" applyFill="1" applyAlignment="1" applyProtection="1">
      <alignment horizontal="center"/>
    </xf>
    <xf numFmtId="0" fontId="0" fillId="18" borderId="0" xfId="0" quotePrefix="1" applyNumberFormat="1" applyFill="1" applyAlignment="1" applyProtection="1">
      <alignment horizontal="center" vertical="center" wrapText="1"/>
    </xf>
    <xf numFmtId="0" fontId="0" fillId="18" borderId="0" xfId="0" quotePrefix="1" applyNumberFormat="1" applyFill="1" applyAlignment="1" applyProtection="1">
      <alignment horizontal="right" vertical="center" wrapText="1"/>
    </xf>
    <xf numFmtId="0" fontId="81" fillId="18" borderId="0" xfId="0" quotePrefix="1" applyNumberFormat="1" applyFont="1" applyFill="1" applyAlignment="1" applyProtection="1">
      <alignment horizontal="right" vertical="center" wrapText="1"/>
    </xf>
    <xf numFmtId="166" fontId="0" fillId="21" borderId="0" xfId="0" applyNumberFormat="1" applyFill="1" applyAlignment="1" applyProtection="1">
      <alignment horizontal="center"/>
    </xf>
    <xf numFmtId="0" fontId="42" fillId="21" borderId="0" xfId="0" applyNumberFormat="1" applyFont="1" applyFill="1" applyAlignment="1" applyProtection="1">
      <alignment horizontal="center"/>
    </xf>
    <xf numFmtId="0" fontId="0" fillId="0" borderId="0" xfId="0" quotePrefix="1" applyNumberFormat="1" applyFill="1" applyAlignment="1" applyProtection="1">
      <alignment horizontal="right" vertical="center" wrapText="1"/>
    </xf>
    <xf numFmtId="10" fontId="0" fillId="21" borderId="0" xfId="0" applyNumberFormat="1" applyFill="1" applyAlignment="1" applyProtection="1">
      <alignment vertical="center"/>
    </xf>
    <xf numFmtId="10" fontId="0" fillId="21" borderId="0" xfId="0" applyNumberFormat="1" applyFill="1" applyAlignment="1" applyProtection="1">
      <alignment horizontal="center" vertical="center"/>
    </xf>
    <xf numFmtId="0" fontId="0" fillId="21" borderId="0" xfId="0" applyNumberFormat="1" applyFill="1" applyAlignment="1" applyProtection="1"/>
    <xf numFmtId="3" fontId="39" fillId="0" borderId="0" xfId="0" applyNumberFormat="1" applyFont="1" applyFill="1" applyAlignment="1" applyProtection="1">
      <alignment horizontal="center" vertical="center" wrapText="1"/>
    </xf>
    <xf numFmtId="174" fontId="39" fillId="0" borderId="0" xfId="0" applyNumberFormat="1" applyFont="1" applyFill="1" applyAlignment="1" applyProtection="1">
      <alignment horizontal="center" vertical="center" wrapText="1"/>
    </xf>
    <xf numFmtId="0" fontId="0" fillId="18" borderId="0" xfId="0" applyNumberFormat="1" applyFill="1" applyAlignment="1" applyProtection="1">
      <alignment horizontal="right" vertical="center" wrapText="1"/>
    </xf>
    <xf numFmtId="9" fontId="0" fillId="21" borderId="0" xfId="0" applyNumberFormat="1" applyFill="1" applyAlignment="1" applyProtection="1">
      <alignment horizontal="center"/>
    </xf>
    <xf numFmtId="0" fontId="0" fillId="0" borderId="0" xfId="0" applyNumberFormat="1" applyFill="1" applyAlignment="1" applyProtection="1">
      <alignment horizontal="right" vertical="center" wrapText="1"/>
    </xf>
    <xf numFmtId="166" fontId="0" fillId="21" borderId="0" xfId="0" applyNumberFormat="1" applyFill="1" applyAlignment="1" applyProtection="1"/>
    <xf numFmtId="173" fontId="0" fillId="21" borderId="0" xfId="0" applyNumberFormat="1" applyFill="1" applyAlignment="1" applyProtection="1">
      <alignment horizontal="center"/>
    </xf>
    <xf numFmtId="166" fontId="43" fillId="21" borderId="0" xfId="0" applyNumberFormat="1" applyFont="1" applyFill="1" applyAlignment="1" applyProtection="1">
      <alignment horizontal="center" wrapText="1"/>
    </xf>
    <xf numFmtId="0" fontId="0" fillId="18" borderId="0" xfId="0" applyNumberFormat="1" applyFill="1" applyAlignment="1" applyProtection="1">
      <alignment horizontal="center"/>
    </xf>
    <xf numFmtId="0" fontId="43" fillId="21" borderId="0" xfId="0" applyNumberFormat="1" applyFont="1" applyFill="1" applyAlignment="1" applyProtection="1">
      <alignment horizontal="center"/>
    </xf>
    <xf numFmtId="0" fontId="85" fillId="18" borderId="0" xfId="0" applyNumberFormat="1" applyFont="1" applyFill="1" applyAlignment="1" applyProtection="1">
      <alignment horizontal="left" vertical="center"/>
    </xf>
    <xf numFmtId="0" fontId="85" fillId="18" borderId="0" xfId="0" applyNumberFormat="1" applyFont="1" applyFill="1" applyAlignment="1" applyProtection="1">
      <alignment horizontal="center" vertical="center" wrapText="1"/>
    </xf>
    <xf numFmtId="0" fontId="48" fillId="9" borderId="0" xfId="0" quotePrefix="1" applyNumberFormat="1" applyFont="1" applyFill="1" applyAlignment="1" applyProtection="1">
      <alignment horizontal="center" vertical="center" wrapText="1"/>
    </xf>
    <xf numFmtId="166" fontId="39" fillId="21" borderId="0" xfId="0" quotePrefix="1" applyNumberFormat="1" applyFont="1" applyFill="1" applyAlignment="1" applyProtection="1">
      <alignment horizontal="center" vertical="center" wrapText="1"/>
    </xf>
    <xf numFmtId="0" fontId="39" fillId="18" borderId="0" xfId="0" applyNumberFormat="1" applyFont="1" applyFill="1" applyAlignment="1" applyProtection="1">
      <alignment horizontal="right" vertical="center" wrapText="1"/>
    </xf>
    <xf numFmtId="3" fontId="39" fillId="21" borderId="0" xfId="0" quotePrefix="1" applyNumberFormat="1" applyFont="1" applyFill="1" applyAlignment="1" applyProtection="1">
      <alignment horizontal="center" vertical="center" wrapText="1"/>
      <protection locked="0"/>
    </xf>
    <xf numFmtId="0" fontId="81" fillId="18" borderId="0" xfId="0" applyNumberFormat="1" applyFont="1" applyFill="1" applyAlignment="1" applyProtection="1">
      <alignment horizontal="right" vertical="center" wrapText="1"/>
    </xf>
    <xf numFmtId="0" fontId="58" fillId="18" borderId="0" xfId="0" applyNumberFormat="1" applyFont="1" applyFill="1" applyAlignment="1" applyProtection="1">
      <alignment horizontal="center" vertical="center" wrapText="1"/>
    </xf>
    <xf numFmtId="0" fontId="58" fillId="20" borderId="0" xfId="0" applyNumberFormat="1" applyFont="1" applyFill="1" applyAlignment="1" applyProtection="1">
      <alignment horizontal="center" vertical="center" wrapText="1"/>
    </xf>
    <xf numFmtId="0" fontId="76" fillId="22" borderId="0" xfId="0" applyNumberFormat="1" applyFont="1" applyFill="1" applyAlignment="1" applyProtection="1">
      <alignment horizontal="center"/>
    </xf>
    <xf numFmtId="0" fontId="0" fillId="22" borderId="0" xfId="0" applyNumberFormat="1" applyFill="1" applyAlignment="1" applyProtection="1">
      <alignment horizontal="center"/>
    </xf>
    <xf numFmtId="0" fontId="0" fillId="0" borderId="0" xfId="0" quotePrefix="1" applyNumberFormat="1" applyFill="1" applyAlignment="1" applyProtection="1">
      <alignment horizontal="center" vertical="center" wrapText="1"/>
    </xf>
    <xf numFmtId="9" fontId="39" fillId="18" borderId="0" xfId="0" applyNumberFormat="1" applyFont="1" applyFill="1" applyAlignment="1" applyProtection="1">
      <alignment horizontal="center" vertical="center" wrapText="1"/>
    </xf>
    <xf numFmtId="9" fontId="81" fillId="0" borderId="0" xfId="0" applyNumberFormat="1" applyFont="1" applyFill="1" applyAlignment="1" applyProtection="1">
      <alignment horizontal="center" vertical="center" wrapText="1"/>
    </xf>
    <xf numFmtId="0" fontId="48" fillId="10" borderId="0" xfId="0" applyNumberFormat="1" applyFont="1" applyFill="1" applyAlignment="1" applyProtection="1">
      <alignment horizontal="center" vertical="center" wrapText="1"/>
    </xf>
    <xf numFmtId="0" fontId="56" fillId="10" borderId="0" xfId="0" quotePrefix="1" applyNumberFormat="1" applyFont="1" applyFill="1" applyAlignment="1" applyProtection="1">
      <alignment horizontal="center" vertical="center" wrapText="1"/>
    </xf>
    <xf numFmtId="0" fontId="48" fillId="0" borderId="0" xfId="0" applyNumberFormat="1" applyFont="1" applyFill="1" applyAlignment="1" applyProtection="1">
      <alignment horizontal="center" vertical="center" wrapText="1"/>
    </xf>
    <xf numFmtId="0" fontId="57" fillId="0" borderId="0" xfId="0" quotePrefix="1" applyNumberFormat="1" applyFont="1" applyFill="1" applyAlignment="1" applyProtection="1">
      <alignment horizontal="center" vertical="center" wrapText="1"/>
    </xf>
    <xf numFmtId="0" fontId="57" fillId="17" borderId="0" xfId="0" quotePrefix="1" applyNumberFormat="1" applyFont="1" applyFill="1" applyAlignment="1" applyProtection="1">
      <alignment horizontal="center" vertical="center" wrapText="1"/>
    </xf>
    <xf numFmtId="0" fontId="0" fillId="18" borderId="0" xfId="0" quotePrefix="1" applyNumberFormat="1" applyFill="1" applyAlignment="1" applyProtection="1">
      <alignment horizontal="center"/>
    </xf>
    <xf numFmtId="167" fontId="0" fillId="21" borderId="0" xfId="0" applyNumberFormat="1" applyFill="1" applyAlignment="1" applyProtection="1">
      <alignment horizontal="center"/>
    </xf>
    <xf numFmtId="0" fontId="57" fillId="17" borderId="0" xfId="0" applyNumberFormat="1" applyFont="1" applyFill="1" applyAlignment="1" applyProtection="1">
      <alignment horizontal="center" vertical="center" wrapText="1"/>
    </xf>
    <xf numFmtId="0" fontId="49" fillId="11" borderId="0" xfId="0" applyNumberFormat="1" applyFont="1" applyFill="1" applyAlignment="1" applyProtection="1">
      <alignment horizontal="center" vertical="center" wrapText="1"/>
    </xf>
    <xf numFmtId="0" fontId="49" fillId="8" borderId="60" xfId="0" applyNumberFormat="1" applyFont="1" applyFill="1" applyBorder="1" applyAlignment="1" applyProtection="1">
      <alignment horizontal="center" vertical="center" wrapText="1"/>
    </xf>
    <xf numFmtId="0" fontId="49" fillId="0" borderId="0" xfId="0" applyNumberFormat="1" applyFont="1" applyFill="1" applyAlignment="1" applyProtection="1">
      <alignment horizontal="center" vertical="center" wrapText="1"/>
    </xf>
    <xf numFmtId="0" fontId="47" fillId="0" borderId="0" xfId="0" applyNumberFormat="1" applyFont="1" applyFill="1" applyAlignment="1" applyProtection="1">
      <alignment horizontal="center" vertical="center" wrapText="1"/>
    </xf>
    <xf numFmtId="0" fontId="39" fillId="14" borderId="0" xfId="0" applyNumberFormat="1" applyFont="1" applyFill="1" applyAlignment="1" applyProtection="1">
      <alignment horizontal="center" vertical="center" wrapText="1"/>
    </xf>
    <xf numFmtId="0" fontId="47" fillId="8" borderId="0" xfId="0" applyNumberFormat="1" applyFont="1" applyFill="1" applyAlignment="1" applyProtection="1">
      <alignment horizontal="center" vertical="center" wrapText="1"/>
    </xf>
    <xf numFmtId="0" fontId="0" fillId="8" borderId="0" xfId="0" applyNumberFormat="1" applyFill="1" applyAlignment="1" applyProtection="1">
      <alignment horizontal="center" vertical="center" wrapText="1"/>
    </xf>
    <xf numFmtId="0" fontId="57" fillId="9" borderId="0" xfId="0" quotePrefix="1" applyNumberFormat="1" applyFont="1" applyFill="1" applyAlignment="1" applyProtection="1">
      <alignment horizontal="center" vertical="center" wrapText="1"/>
    </xf>
    <xf numFmtId="0" fontId="44" fillId="9" borderId="0" xfId="0" applyNumberFormat="1" applyFont="1" applyFill="1" applyAlignment="1" applyProtection="1">
      <alignment horizontal="center" vertical="center" wrapText="1"/>
    </xf>
    <xf numFmtId="10" fontId="39" fillId="21" borderId="0" xfId="0" quotePrefix="1" applyNumberFormat="1" applyFont="1" applyFill="1" applyAlignment="1" applyProtection="1">
      <alignment horizontal="center" vertical="center" wrapText="1"/>
    </xf>
    <xf numFmtId="9" fontId="39" fillId="0" borderId="0" xfId="0" applyNumberFormat="1" applyFont="1" applyFill="1" applyAlignment="1" applyProtection="1">
      <alignment horizontal="center" vertical="center" wrapText="1"/>
    </xf>
    <xf numFmtId="0" fontId="39" fillId="21" borderId="0" xfId="0" quotePrefix="1" applyNumberFormat="1" applyFont="1" applyFill="1" applyAlignment="1" applyProtection="1">
      <alignment horizontal="center" vertical="center" wrapText="1"/>
    </xf>
    <xf numFmtId="9" fontId="39" fillId="21" borderId="0" xfId="0" quotePrefix="1" applyNumberFormat="1" applyFont="1" applyFill="1" applyAlignment="1" applyProtection="1">
      <alignment horizontal="center" vertical="center" wrapText="1"/>
    </xf>
    <xf numFmtId="0" fontId="47" fillId="9" borderId="0" xfId="0" applyNumberFormat="1" applyFont="1" applyFill="1" applyAlignment="1" applyProtection="1">
      <alignment horizontal="center" vertical="center" wrapText="1"/>
    </xf>
    <xf numFmtId="3" fontId="0" fillId="0" borderId="0" xfId="0" quotePrefix="1" applyNumberFormat="1" applyFill="1" applyAlignment="1" applyProtection="1">
      <alignment horizontal="center" vertical="center" wrapText="1"/>
    </xf>
    <xf numFmtId="9" fontId="39" fillId="0" borderId="0" xfId="0" quotePrefix="1" applyNumberFormat="1" applyFont="1" applyFill="1" applyAlignment="1" applyProtection="1">
      <alignment horizontal="center" vertical="center" wrapText="1"/>
    </xf>
    <xf numFmtId="10" fontId="39" fillId="0" borderId="0" xfId="0" quotePrefix="1" applyNumberFormat="1" applyFont="1" applyFill="1" applyAlignment="1" applyProtection="1">
      <alignment horizontal="center" vertical="center" wrapText="1"/>
    </xf>
    <xf numFmtId="166" fontId="39" fillId="22" borderId="0" xfId="0" applyNumberFormat="1" applyFont="1" applyFill="1" applyAlignment="1" applyProtection="1">
      <alignment horizontal="center" vertical="center" wrapText="1"/>
    </xf>
    <xf numFmtId="166" fontId="48" fillId="9" borderId="0" xfId="0" applyNumberFormat="1" applyFont="1" applyFill="1" applyAlignment="1" applyProtection="1">
      <alignment horizontal="center" vertical="center" wrapText="1"/>
    </xf>
    <xf numFmtId="9" fontId="39" fillId="21"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center" vertical="center" wrapText="1"/>
    </xf>
    <xf numFmtId="0" fontId="46" fillId="0" borderId="0" xfId="0" applyNumberFormat="1" applyFont="1" applyFill="1" applyAlignment="1" applyProtection="1">
      <alignment horizontal="center" vertical="center" wrapText="1"/>
    </xf>
    <xf numFmtId="0" fontId="50" fillId="14" borderId="0" xfId="0" applyNumberFormat="1" applyFont="1" applyFill="1" applyAlignment="1" applyProtection="1">
      <alignment horizontal="left" vertical="center"/>
    </xf>
    <xf numFmtId="0" fontId="49" fillId="8" borderId="65" xfId="0" applyNumberFormat="1" applyFont="1" applyFill="1" applyBorder="1" applyAlignment="1" applyProtection="1">
      <alignment horizontal="center" vertical="center" wrapText="1"/>
    </xf>
    <xf numFmtId="0" fontId="43" fillId="0" borderId="0" xfId="0" quotePrefix="1" applyNumberFormat="1" applyFont="1" applyFill="1" applyAlignment="1" applyProtection="1">
      <alignment horizontal="center" vertical="center" wrapText="1"/>
    </xf>
    <xf numFmtId="0" fontId="58" fillId="0" borderId="0" xfId="0" applyNumberFormat="1" applyFont="1" applyFill="1" applyAlignment="1" applyProtection="1">
      <alignment horizontal="center" vertical="center" wrapText="1"/>
    </xf>
    <xf numFmtId="166" fontId="58" fillId="22" borderId="0" xfId="0" applyNumberFormat="1" applyFont="1" applyFill="1" applyAlignment="1" applyProtection="1">
      <alignment horizontal="center" vertical="center" wrapText="1"/>
    </xf>
    <xf numFmtId="0" fontId="39" fillId="21" borderId="0" xfId="0" quotePrefix="1" applyNumberFormat="1" applyFont="1" applyFill="1" applyAlignment="1" applyProtection="1">
      <alignment horizontal="right" vertical="center" wrapText="1"/>
    </xf>
    <xf numFmtId="0" fontId="39" fillId="21" borderId="0" xfId="0" applyNumberFormat="1" applyFont="1" applyFill="1" applyAlignment="1" applyProtection="1">
      <alignment horizontal="center" vertical="center" wrapText="1"/>
    </xf>
    <xf numFmtId="0" fontId="48" fillId="17" borderId="0" xfId="0" applyNumberFormat="1" applyFont="1" applyFill="1" applyAlignment="1" applyProtection="1">
      <alignment horizontal="center" vertical="center" wrapText="1"/>
    </xf>
    <xf numFmtId="0" fontId="47" fillId="17" borderId="0" xfId="0" applyNumberFormat="1" applyFont="1" applyFill="1" applyAlignment="1" applyProtection="1">
      <alignment horizontal="center" vertical="center" wrapText="1"/>
    </xf>
    <xf numFmtId="0" fontId="0" fillId="0" borderId="0" xfId="0" applyNumberFormat="1" applyFill="1" applyAlignment="1" applyProtection="1">
      <alignment horizontal="left" vertical="center"/>
    </xf>
    <xf numFmtId="0" fontId="45" fillId="8" borderId="0" xfId="0" applyNumberFormat="1" applyFont="1" applyFill="1" applyAlignment="1" applyProtection="1">
      <alignment horizontal="center" vertical="center" wrapText="1"/>
    </xf>
    <xf numFmtId="0" fontId="48" fillId="18" borderId="0" xfId="0" quotePrefix="1" applyNumberFormat="1" applyFont="1" applyFill="1" applyAlignment="1" applyProtection="1">
      <alignment horizontal="center" vertical="center" wrapText="1"/>
    </xf>
    <xf numFmtId="0" fontId="39" fillId="0" borderId="0" xfId="0" applyNumberFormat="1" applyFont="1" applyFill="1" applyAlignment="1" applyProtection="1">
      <alignment horizontal="left" vertical="center" wrapText="1"/>
    </xf>
    <xf numFmtId="0" fontId="0" fillId="0" borderId="0" xfId="0" applyNumberFormat="1" applyFill="1" applyAlignment="1" applyProtection="1">
      <protection locked="0"/>
    </xf>
    <xf numFmtId="0" fontId="48" fillId="18" borderId="0" xfId="0" quotePrefix="1" applyNumberFormat="1" applyFont="1" applyFill="1" applyAlignment="1" applyProtection="1">
      <alignment horizontal="center" vertical="center" wrapText="1"/>
      <protection locked="0"/>
    </xf>
    <xf numFmtId="0" fontId="57" fillId="0" borderId="0" xfId="0" quotePrefix="1" applyNumberFormat="1" applyFont="1" applyFill="1" applyAlignment="1" applyProtection="1">
      <alignment horizontal="center" vertical="center" wrapText="1"/>
      <protection locked="0"/>
    </xf>
    <xf numFmtId="0" fontId="48" fillId="0" borderId="0" xfId="0" quotePrefix="1" applyNumberFormat="1" applyFont="1" applyFill="1" applyAlignment="1" applyProtection="1">
      <alignment horizontal="center" vertical="center" wrapText="1"/>
      <protection locked="0"/>
    </xf>
    <xf numFmtId="0" fontId="47" fillId="0" borderId="0" xfId="0" quotePrefix="1" applyNumberFormat="1" applyFont="1" applyFill="1" applyAlignment="1" applyProtection="1">
      <alignment horizontal="center" vertical="center" wrapText="1"/>
    </xf>
    <xf numFmtId="0" fontId="39" fillId="7" borderId="0" xfId="0" quotePrefix="1" applyNumberFormat="1" applyFont="1" applyFill="1" applyAlignment="1" applyProtection="1">
      <alignment horizontal="center" vertical="center" wrapText="1"/>
    </xf>
    <xf numFmtId="0" fontId="44" fillId="16" borderId="17" xfId="0" applyNumberFormat="1" applyFont="1" applyFill="1" applyBorder="1" applyAlignment="1" applyProtection="1">
      <alignment horizontal="center" vertical="center" wrapText="1"/>
    </xf>
    <xf numFmtId="0" fontId="44" fillId="16" borderId="12" xfId="0" applyNumberFormat="1" applyFont="1" applyFill="1" applyBorder="1" applyAlignment="1" applyProtection="1">
      <alignment horizontal="center" vertical="center" wrapText="1"/>
    </xf>
    <xf numFmtId="1" fontId="0" fillId="0" borderId="0" xfId="0" applyNumberFormat="1" applyFill="1" applyAlignment="1" applyProtection="1"/>
    <xf numFmtId="4" fontId="0" fillId="0" borderId="0" xfId="0" applyNumberFormat="1" applyFill="1" applyAlignment="1" applyProtection="1"/>
    <xf numFmtId="0" fontId="16" fillId="6" borderId="0" xfId="0" applyNumberFormat="1" applyFont="1" applyFill="1" applyAlignment="1" applyProtection="1">
      <alignment horizontal="center" vertical="center"/>
    </xf>
    <xf numFmtId="0" fontId="17" fillId="6" borderId="0" xfId="0" applyNumberFormat="1" applyFont="1" applyFill="1" applyAlignment="1" applyProtection="1">
      <alignment vertical="center"/>
    </xf>
    <xf numFmtId="0" fontId="16" fillId="6" borderId="0" xfId="0" applyNumberFormat="1" applyFont="1" applyFill="1" applyAlignment="1" applyProtection="1">
      <alignment vertical="center"/>
    </xf>
    <xf numFmtId="0" fontId="2" fillId="0" borderId="14" xfId="0" applyNumberFormat="1" applyFont="1" applyFill="1" applyBorder="1" applyAlignment="1" applyProtection="1"/>
    <xf numFmtId="0" fontId="2" fillId="0" borderId="15" xfId="0" applyNumberFormat="1" applyFont="1" applyFill="1" applyBorder="1" applyAlignment="1" applyProtection="1"/>
    <xf numFmtId="0" fontId="2" fillId="4" borderId="13" xfId="0" applyNumberFormat="1" applyFont="1" applyFill="1" applyBorder="1" applyAlignment="1" applyProtection="1"/>
    <xf numFmtId="0" fontId="2" fillId="4" borderId="14" xfId="0" applyNumberFormat="1" applyFont="1" applyFill="1" applyBorder="1" applyAlignment="1" applyProtection="1"/>
    <xf numFmtId="0" fontId="12" fillId="2" borderId="14" xfId="0" applyNumberFormat="1" applyFont="1" applyFill="1" applyBorder="1" applyAlignment="1" applyProtection="1"/>
    <xf numFmtId="0" fontId="2" fillId="4" borderId="24" xfId="0" applyNumberFormat="1" applyFont="1" applyFill="1" applyBorder="1" applyAlignment="1" applyProtection="1"/>
    <xf numFmtId="0" fontId="2" fillId="4" borderId="22" xfId="0" applyNumberFormat="1" applyFont="1" applyFill="1" applyBorder="1" applyAlignment="1" applyProtection="1"/>
    <xf numFmtId="0" fontId="43" fillId="2" borderId="22" xfId="0" applyNumberFormat="1" applyFont="1" applyFill="1" applyBorder="1" applyAlignment="1" applyProtection="1"/>
    <xf numFmtId="0" fontId="2" fillId="0" borderId="22" xfId="0" applyNumberFormat="1" applyFont="1" applyFill="1" applyBorder="1" applyAlignment="1" applyProtection="1"/>
    <xf numFmtId="0" fontId="2" fillId="0" borderId="18" xfId="0" applyNumberFormat="1" applyFont="1" applyFill="1" applyBorder="1" applyAlignment="1" applyProtection="1"/>
    <xf numFmtId="0" fontId="19" fillId="0" borderId="0" xfId="0" applyNumberFormat="1" applyFont="1" applyFill="1" applyAlignment="1" applyProtection="1"/>
    <xf numFmtId="0" fontId="2" fillId="4" borderId="17" xfId="0" applyNumberFormat="1" applyFont="1" applyFill="1" applyBorder="1" applyAlignment="1" applyProtection="1">
      <alignment horizontal="center"/>
    </xf>
    <xf numFmtId="0" fontId="2" fillId="4" borderId="15" xfId="0" applyNumberFormat="1" applyFont="1" applyFill="1" applyBorder="1" applyAlignment="1" applyProtection="1">
      <alignment horizontal="center"/>
    </xf>
    <xf numFmtId="0" fontId="2" fillId="4" borderId="19" xfId="0" applyNumberFormat="1" applyFont="1" applyFill="1" applyBorder="1" applyAlignment="1" applyProtection="1"/>
    <xf numFmtId="0" fontId="2" fillId="4" borderId="11" xfId="0" applyNumberFormat="1" applyFont="1" applyFill="1" applyBorder="1" applyAlignment="1" applyProtection="1"/>
    <xf numFmtId="0" fontId="2" fillId="4" borderId="21" xfId="0" applyNumberFormat="1" applyFont="1" applyFill="1" applyBorder="1" applyAlignment="1" applyProtection="1"/>
    <xf numFmtId="0" fontId="2" fillId="4" borderId="34" xfId="0" applyNumberFormat="1" applyFont="1" applyFill="1" applyBorder="1" applyAlignment="1" applyProtection="1"/>
    <xf numFmtId="0" fontId="2" fillId="4" borderId="16" xfId="0" applyNumberFormat="1" applyFont="1" applyFill="1" applyBorder="1" applyAlignment="1" applyProtection="1"/>
    <xf numFmtId="0" fontId="2" fillId="4" borderId="0" xfId="0" applyNumberFormat="1" applyFont="1" applyFill="1" applyAlignment="1" applyProtection="1"/>
    <xf numFmtId="0" fontId="2" fillId="4" borderId="20" xfId="0" applyNumberFormat="1" applyFont="1" applyFill="1" applyBorder="1" applyAlignment="1" applyProtection="1"/>
    <xf numFmtId="0" fontId="2" fillId="4" borderId="35" xfId="0" applyNumberFormat="1" applyFont="1" applyFill="1" applyBorder="1" applyAlignment="1" applyProtection="1"/>
    <xf numFmtId="0" fontId="2" fillId="4" borderId="18" xfId="0" applyNumberFormat="1" applyFont="1" applyFill="1" applyBorder="1" applyAlignment="1" applyProtection="1"/>
    <xf numFmtId="0" fontId="2" fillId="4" borderId="36" xfId="0" applyNumberFormat="1" applyFont="1" applyFill="1" applyBorder="1" applyAlignment="1" applyProtection="1"/>
    <xf numFmtId="0" fontId="21" fillId="0" borderId="0" xfId="0" applyNumberFormat="1" applyFont="1" applyFill="1" applyAlignment="1" applyProtection="1">
      <alignment horizontal="center"/>
    </xf>
    <xf numFmtId="0" fontId="2" fillId="4" borderId="21" xfId="0" applyNumberFormat="1" applyFont="1" applyFill="1" applyBorder="1" applyAlignment="1" applyProtection="1">
      <alignment horizontal="right"/>
    </xf>
    <xf numFmtId="0" fontId="2" fillId="4" borderId="18" xfId="0" applyNumberFormat="1" applyFont="1" applyFill="1" applyBorder="1" applyAlignment="1" applyProtection="1">
      <alignment horizontal="right"/>
    </xf>
    <xf numFmtId="0" fontId="2" fillId="4" borderId="15" xfId="0" applyNumberFormat="1" applyFont="1" applyFill="1" applyBorder="1" applyAlignment="1" applyProtection="1"/>
    <xf numFmtId="0" fontId="20" fillId="0" borderId="0" xfId="0" applyNumberFormat="1" applyFont="1" applyFill="1" applyAlignment="1" applyProtection="1"/>
    <xf numFmtId="0" fontId="12" fillId="0" borderId="0" xfId="0" applyNumberFormat="1" applyFont="1" applyFill="1" applyAlignment="1" applyProtection="1"/>
    <xf numFmtId="0" fontId="2" fillId="4" borderId="10" xfId="0" applyNumberFormat="1" applyFont="1" applyFill="1" applyBorder="1" applyAlignment="1" applyProtection="1">
      <alignment horizontal="center"/>
    </xf>
    <xf numFmtId="0" fontId="2" fillId="4" borderId="12" xfId="0" applyNumberFormat="1" applyFont="1" applyFill="1" applyBorder="1" applyAlignment="1" applyProtection="1">
      <alignment horizontal="center" wrapText="1"/>
    </xf>
    <xf numFmtId="0" fontId="2" fillId="4" borderId="10" xfId="0" applyNumberFormat="1" applyFont="1" applyFill="1" applyBorder="1" applyAlignment="1" applyProtection="1"/>
    <xf numFmtId="0" fontId="2" fillId="4" borderId="25" xfId="0" applyNumberFormat="1" applyFont="1" applyFill="1" applyBorder="1" applyAlignment="1" applyProtection="1"/>
    <xf numFmtId="0" fontId="2" fillId="4" borderId="30" xfId="0" applyNumberFormat="1" applyFont="1" applyFill="1" applyBorder="1" applyAlignment="1" applyProtection="1"/>
    <xf numFmtId="0" fontId="2" fillId="4" borderId="12" xfId="0" applyNumberFormat="1" applyFont="1" applyFill="1" applyBorder="1" applyAlignment="1" applyProtection="1"/>
    <xf numFmtId="0" fontId="15" fillId="4" borderId="31" xfId="0" applyNumberFormat="1" applyFont="1" applyFill="1" applyBorder="1" applyAlignment="1" applyProtection="1"/>
    <xf numFmtId="0" fontId="2" fillId="4" borderId="31" xfId="0" applyNumberFormat="1" applyFont="1" applyFill="1" applyBorder="1" applyAlignment="1" applyProtection="1"/>
    <xf numFmtId="0" fontId="2" fillId="4" borderId="23" xfId="0" applyNumberFormat="1" applyFont="1" applyFill="1" applyBorder="1" applyAlignment="1" applyProtection="1"/>
    <xf numFmtId="0" fontId="2" fillId="4" borderId="32" xfId="0" applyNumberFormat="1" applyFont="1" applyFill="1" applyBorder="1" applyAlignment="1" applyProtection="1"/>
    <xf numFmtId="0" fontId="8" fillId="4" borderId="14" xfId="0" applyNumberFormat="1" applyFont="1" applyFill="1" applyBorder="1" applyAlignment="1" applyProtection="1"/>
    <xf numFmtId="0" fontId="2" fillId="4" borderId="13" xfId="0" applyNumberFormat="1" applyFont="1" applyFill="1" applyBorder="1" applyAlignment="1" applyProtection="1">
      <alignment horizontal="center" wrapText="1"/>
    </xf>
    <xf numFmtId="0" fontId="2" fillId="4" borderId="17" xfId="0" applyNumberFormat="1" applyFont="1" applyFill="1" applyBorder="1" applyAlignment="1" applyProtection="1">
      <alignment horizontal="center" wrapText="1"/>
    </xf>
    <xf numFmtId="0" fontId="2" fillId="4" borderId="26" xfId="0" applyNumberFormat="1" applyFont="1" applyFill="1" applyBorder="1" applyAlignment="1" applyProtection="1"/>
    <xf numFmtId="0" fontId="2" fillId="4" borderId="27" xfId="0" applyNumberFormat="1" applyFont="1" applyFill="1" applyBorder="1" applyAlignment="1" applyProtection="1"/>
    <xf numFmtId="0" fontId="8" fillId="4" borderId="13" xfId="0" applyNumberFormat="1" applyFont="1" applyFill="1" applyBorder="1" applyAlignment="1" applyProtection="1"/>
    <xf numFmtId="0" fontId="2" fillId="4" borderId="28" xfId="0" applyNumberFormat="1" applyFont="1" applyFill="1" applyBorder="1" applyAlignment="1" applyProtection="1"/>
    <xf numFmtId="0" fontId="2" fillId="4" borderId="33" xfId="0" applyNumberFormat="1" applyFont="1" applyFill="1" applyBorder="1" applyAlignment="1" applyProtection="1"/>
    <xf numFmtId="0" fontId="2" fillId="4" borderId="29" xfId="0" applyNumberFormat="1" applyFont="1" applyFill="1" applyBorder="1" applyAlignment="1" applyProtection="1"/>
    <xf numFmtId="0" fontId="2" fillId="4" borderId="15" xfId="0" applyNumberFormat="1" applyFont="1" applyFill="1" applyBorder="1" applyAlignment="1" applyProtection="1">
      <alignment horizontal="right"/>
    </xf>
    <xf numFmtId="0" fontId="2" fillId="4" borderId="19" xfId="0" applyNumberFormat="1" applyFont="1" applyFill="1" applyBorder="1" applyAlignment="1" applyProtection="1">
      <alignment vertical="top"/>
    </xf>
    <xf numFmtId="3" fontId="2" fillId="4" borderId="11" xfId="0" applyNumberFormat="1" applyFont="1" applyFill="1" applyBorder="1" applyAlignment="1" applyProtection="1">
      <alignment horizontal="right" indent="1"/>
    </xf>
    <xf numFmtId="0" fontId="2" fillId="4" borderId="16" xfId="0" applyNumberFormat="1" applyFont="1" applyFill="1" applyBorder="1" applyAlignment="1" applyProtection="1">
      <alignment vertical="top"/>
    </xf>
    <xf numFmtId="0" fontId="2" fillId="4" borderId="0" xfId="0" applyNumberFormat="1" applyFont="1" applyFill="1" applyAlignment="1" applyProtection="1">
      <alignment vertical="top"/>
    </xf>
    <xf numFmtId="3" fontId="2" fillId="4" borderId="0" xfId="0" applyNumberFormat="1" applyFont="1" applyFill="1" applyAlignment="1" applyProtection="1">
      <alignment horizontal="right" indent="1"/>
    </xf>
    <xf numFmtId="0" fontId="2" fillId="4" borderId="0" xfId="0" applyNumberFormat="1" applyFont="1" applyFill="1" applyAlignment="1" applyProtection="1">
      <alignment horizontal="left"/>
    </xf>
    <xf numFmtId="0" fontId="2" fillId="4" borderId="16" xfId="0" applyNumberFormat="1" applyFont="1" applyFill="1" applyBorder="1" applyAlignment="1" applyProtection="1">
      <alignment vertical="center"/>
    </xf>
    <xf numFmtId="0" fontId="2" fillId="4" borderId="24" xfId="0" applyNumberFormat="1" applyFont="1" applyFill="1" applyBorder="1" applyAlignment="1" applyProtection="1">
      <alignment vertical="center"/>
    </xf>
    <xf numFmtId="3" fontId="2" fillId="4" borderId="22" xfId="0" applyNumberFormat="1" applyFont="1" applyFill="1" applyBorder="1" applyAlignment="1" applyProtection="1">
      <alignment horizontal="right" indent="1"/>
    </xf>
    <xf numFmtId="0" fontId="12" fillId="4" borderId="17" xfId="0" applyNumberFormat="1" applyFont="1" applyFill="1" applyBorder="1" applyAlignment="1" applyProtection="1">
      <alignment horizontal="center" vertical="center" wrapText="1"/>
    </xf>
    <xf numFmtId="0" fontId="12" fillId="4" borderId="14" xfId="0" applyNumberFormat="1" applyFont="1" applyFill="1" applyBorder="1" applyAlignment="1" applyProtection="1">
      <alignment horizontal="center" vertical="center" wrapText="1"/>
    </xf>
    <xf numFmtId="167" fontId="12" fillId="0" borderId="0" xfId="0" applyNumberFormat="1" applyFont="1" applyFill="1" applyAlignment="1" applyProtection="1">
      <alignment horizontal="right"/>
    </xf>
    <xf numFmtId="0" fontId="8" fillId="4" borderId="37" xfId="0" applyNumberFormat="1" applyFont="1" applyFill="1" applyBorder="1" applyAlignment="1" applyProtection="1">
      <alignment horizontal="right"/>
    </xf>
    <xf numFmtId="0" fontId="2" fillId="4" borderId="17" xfId="0" applyNumberFormat="1" applyFont="1" applyFill="1" applyBorder="1" applyAlignment="1" applyProtection="1"/>
    <xf numFmtId="0" fontId="8" fillId="4" borderId="13" xfId="0" applyNumberFormat="1" applyFont="1" applyFill="1" applyBorder="1" applyAlignment="1" applyProtection="1">
      <alignment horizontal="right"/>
    </xf>
    <xf numFmtId="3" fontId="12" fillId="0" borderId="0" xfId="0" applyNumberFormat="1" applyFont="1" applyFill="1" applyAlignment="1" applyProtection="1"/>
    <xf numFmtId="0" fontId="8" fillId="4" borderId="15" xfId="0" applyNumberFormat="1" applyFont="1" applyFill="1" applyBorder="1" applyAlignment="1" applyProtection="1">
      <alignment horizontal="right"/>
    </xf>
    <xf numFmtId="0" fontId="2" fillId="4" borderId="28" xfId="0" applyNumberFormat="1" applyFont="1" applyFill="1" applyBorder="1" applyAlignment="1" applyProtection="1">
      <alignment horizontal="right"/>
    </xf>
    <xf numFmtId="0" fontId="11" fillId="4" borderId="13" xfId="0" applyNumberFormat="1" applyFont="1" applyFill="1" applyBorder="1" applyAlignment="1" applyProtection="1"/>
    <xf numFmtId="0" fontId="2" fillId="4" borderId="14" xfId="0" applyNumberFormat="1" applyFont="1" applyFill="1" applyBorder="1" applyAlignment="1" applyProtection="1">
      <alignment horizontal="left"/>
    </xf>
    <xf numFmtId="0" fontId="11" fillId="4" borderId="16" xfId="0" applyNumberFormat="1" applyFont="1" applyFill="1" applyBorder="1" applyAlignment="1" applyProtection="1"/>
    <xf numFmtId="0" fontId="2" fillId="4" borderId="12" xfId="0" applyNumberFormat="1" applyFont="1" applyFill="1" applyBorder="1" applyAlignment="1" applyProtection="1">
      <alignment horizontal="center"/>
    </xf>
    <xf numFmtId="0" fontId="2" fillId="0" borderId="20" xfId="0" applyNumberFormat="1" applyFont="1" applyFill="1" applyBorder="1" applyAlignment="1" applyProtection="1"/>
    <xf numFmtId="0" fontId="2" fillId="0" borderId="19" xfId="0" applyNumberFormat="1" applyFont="1" applyFill="1" applyBorder="1" applyAlignment="1" applyProtection="1"/>
    <xf numFmtId="0" fontId="2" fillId="0" borderId="12" xfId="0" applyNumberFormat="1" applyFont="1" applyFill="1" applyBorder="1" applyAlignment="1" applyProtection="1">
      <alignment horizontal="center"/>
    </xf>
    <xf numFmtId="0" fontId="2" fillId="4" borderId="40" xfId="0" applyNumberFormat="1" applyFont="1" applyFill="1" applyBorder="1" applyAlignment="1" applyProtection="1"/>
    <xf numFmtId="0" fontId="2" fillId="4" borderId="41" xfId="0" applyNumberFormat="1" applyFont="1" applyFill="1" applyBorder="1" applyAlignment="1" applyProtection="1"/>
    <xf numFmtId="0" fontId="8" fillId="4" borderId="14" xfId="0" applyNumberFormat="1" applyFont="1" applyFill="1" applyBorder="1" applyAlignment="1" applyProtection="1">
      <alignment horizontal="right"/>
    </xf>
    <xf numFmtId="166" fontId="2" fillId="0" borderId="17" xfId="0" applyNumberFormat="1" applyFont="1" applyFill="1" applyBorder="1" applyAlignment="1" applyProtection="1">
      <alignment horizontal="center"/>
    </xf>
    <xf numFmtId="0" fontId="8" fillId="4" borderId="24" xfId="0" applyNumberFormat="1" applyFont="1" applyFill="1" applyBorder="1" applyAlignment="1" applyProtection="1"/>
    <xf numFmtId="0" fontId="8" fillId="4" borderId="22" xfId="0" applyNumberFormat="1" applyFont="1" applyFill="1" applyBorder="1" applyAlignment="1" applyProtection="1">
      <alignment horizontal="right"/>
    </xf>
    <xf numFmtId="0" fontId="2" fillId="0" borderId="24" xfId="0" applyNumberFormat="1" applyFont="1" applyFill="1" applyBorder="1" applyAlignment="1" applyProtection="1"/>
    <xf numFmtId="0" fontId="2" fillId="0" borderId="35" xfId="0" applyNumberFormat="1" applyFont="1" applyFill="1" applyBorder="1" applyAlignment="1" applyProtection="1"/>
    <xf numFmtId="0" fontId="2" fillId="0" borderId="36" xfId="0" applyNumberFormat="1" applyFont="1" applyFill="1" applyBorder="1" applyAlignment="1" applyProtection="1"/>
    <xf numFmtId="167" fontId="2" fillId="0" borderId="15" xfId="0" applyNumberFormat="1" applyFont="1" applyFill="1" applyBorder="1" applyAlignment="1" applyProtection="1">
      <alignment horizontal="center"/>
    </xf>
    <xf numFmtId="0" fontId="2" fillId="4" borderId="10" xfId="0" applyNumberFormat="1" applyFont="1" applyFill="1" applyBorder="1" applyAlignment="1" applyProtection="1">
      <alignment horizontal="center" wrapText="1"/>
    </xf>
    <xf numFmtId="0" fontId="2" fillId="4" borderId="19" xfId="0" applyNumberFormat="1" applyFont="1" applyFill="1" applyBorder="1" applyAlignment="1" applyProtection="1">
      <alignment horizontal="right"/>
    </xf>
    <xf numFmtId="0" fontId="2" fillId="4" borderId="16" xfId="0" applyNumberFormat="1" applyFont="1" applyFill="1" applyBorder="1" applyAlignment="1" applyProtection="1">
      <alignment horizontal="right"/>
    </xf>
    <xf numFmtId="0" fontId="2" fillId="4" borderId="24" xfId="0" applyNumberFormat="1" applyFont="1" applyFill="1" applyBorder="1" applyAlignment="1" applyProtection="1">
      <alignment horizontal="right"/>
    </xf>
    <xf numFmtId="0" fontId="2" fillId="4" borderId="13" xfId="0" applyNumberFormat="1" applyFont="1" applyFill="1" applyBorder="1" applyAlignment="1" applyProtection="1">
      <alignment horizontal="right"/>
    </xf>
    <xf numFmtId="0" fontId="10" fillId="0" borderId="0" xfId="0" applyNumberFormat="1" applyFont="1" applyFill="1" applyAlignment="1" applyProtection="1">
      <alignment horizontal="left"/>
    </xf>
    <xf numFmtId="0" fontId="16" fillId="0" borderId="0" xfId="0" applyNumberFormat="1" applyFont="1" applyFill="1" applyAlignment="1" applyProtection="1">
      <alignment horizontal="center"/>
    </xf>
    <xf numFmtId="0" fontId="2" fillId="0" borderId="0" xfId="0" applyNumberFormat="1" applyFont="1" applyFill="1" applyAlignment="1" applyProtection="1">
      <alignment horizontal="center" wrapText="1"/>
    </xf>
    <xf numFmtId="0" fontId="8" fillId="4" borderId="13" xfId="0" applyNumberFormat="1" applyFont="1" applyFill="1" applyBorder="1" applyAlignment="1" applyProtection="1">
      <alignment wrapText="1"/>
    </xf>
    <xf numFmtId="0" fontId="8" fillId="4" borderId="15" xfId="0" applyNumberFormat="1" applyFont="1" applyFill="1" applyBorder="1" applyAlignment="1" applyProtection="1">
      <alignment wrapText="1"/>
    </xf>
    <xf numFmtId="0" fontId="8" fillId="4" borderId="17" xfId="0" applyNumberFormat="1" applyFont="1" applyFill="1" applyBorder="1" applyAlignment="1" applyProtection="1">
      <alignment horizontal="center"/>
    </xf>
    <xf numFmtId="0" fontId="2" fillId="4" borderId="11" xfId="0" applyNumberFormat="1" applyFont="1" applyFill="1" applyBorder="1" applyAlignment="1" applyProtection="1">
      <alignment horizontal="left"/>
    </xf>
    <xf numFmtId="0" fontId="2" fillId="4" borderId="16" xfId="0" applyNumberFormat="1" applyFont="1" applyFill="1" applyBorder="1" applyAlignment="1" applyProtection="1">
      <alignment horizontal="center"/>
    </xf>
    <xf numFmtId="0" fontId="2" fillId="4" borderId="25" xfId="0" applyNumberFormat="1" applyFont="1" applyFill="1" applyBorder="1" applyAlignment="1" applyProtection="1">
      <alignment horizontal="left"/>
    </xf>
    <xf numFmtId="0" fontId="2" fillId="4" borderId="26" xfId="0" applyNumberFormat="1" applyFont="1" applyFill="1" applyBorder="1" applyAlignment="1" applyProtection="1">
      <alignment horizontal="left"/>
    </xf>
    <xf numFmtId="0" fontId="2" fillId="4" borderId="27" xfId="0" applyNumberFormat="1" applyFont="1" applyFill="1" applyBorder="1" applyAlignment="1" applyProtection="1">
      <alignment horizontal="left"/>
    </xf>
    <xf numFmtId="0" fontId="2" fillId="4" borderId="34" xfId="0" applyNumberFormat="1" applyFont="1" applyFill="1" applyBorder="1" applyAlignment="1" applyProtection="1">
      <alignment horizontal="left"/>
    </xf>
    <xf numFmtId="0" fontId="2" fillId="4" borderId="36" xfId="0" applyNumberFormat="1" applyFont="1" applyFill="1" applyBorder="1" applyAlignment="1" applyProtection="1">
      <alignment horizontal="left"/>
    </xf>
    <xf numFmtId="0" fontId="2" fillId="4" borderId="16" xfId="0" applyNumberFormat="1" applyFont="1" applyFill="1" applyBorder="1" applyAlignment="1" applyProtection="1">
      <alignment horizontal="left"/>
    </xf>
    <xf numFmtId="0" fontId="8" fillId="4" borderId="18" xfId="0" applyNumberFormat="1" applyFont="1" applyFill="1" applyBorder="1" applyAlignment="1" applyProtection="1">
      <alignment horizontal="right"/>
    </xf>
    <xf numFmtId="10" fontId="2" fillId="4" borderId="23" xfId="0" applyNumberFormat="1" applyFont="1" applyFill="1" applyBorder="1" applyAlignment="1" applyProtection="1">
      <alignment horizontal="center"/>
    </xf>
    <xf numFmtId="0" fontId="2" fillId="4" borderId="10" xfId="0" applyNumberFormat="1" applyFont="1" applyFill="1" applyBorder="1" applyAlignment="1" applyProtection="1">
      <alignment horizontal="left"/>
    </xf>
    <xf numFmtId="0" fontId="2" fillId="4" borderId="12" xfId="0" applyNumberFormat="1" applyFont="1" applyFill="1" applyBorder="1" applyAlignment="1" applyProtection="1">
      <alignment horizontal="left"/>
    </xf>
    <xf numFmtId="0" fontId="2" fillId="4" borderId="23" xfId="0" applyNumberFormat="1" applyFont="1" applyFill="1" applyBorder="1" applyAlignment="1" applyProtection="1">
      <alignment horizontal="left"/>
    </xf>
    <xf numFmtId="0" fontId="2" fillId="0" borderId="0" xfId="0" applyNumberFormat="1" applyFont="1" applyFill="1" applyAlignment="1" applyProtection="1">
      <alignment horizontal="right"/>
    </xf>
    <xf numFmtId="0" fontId="2" fillId="4" borderId="25" xfId="0" applyNumberFormat="1" applyFont="1" applyFill="1" applyBorder="1" applyAlignment="1" applyProtection="1">
      <alignment horizontal="center"/>
    </xf>
    <xf numFmtId="0" fontId="2" fillId="4" borderId="26" xfId="0" quotePrefix="1" applyNumberFormat="1" applyFont="1" applyFill="1" applyBorder="1" applyAlignment="1" applyProtection="1">
      <alignment horizontal="center"/>
    </xf>
    <xf numFmtId="0" fontId="2" fillId="4" borderId="27" xfId="0" applyNumberFormat="1" applyFont="1" applyFill="1" applyBorder="1" applyAlignment="1" applyProtection="1">
      <alignment horizontal="center"/>
    </xf>
    <xf numFmtId="0" fontId="2" fillId="0" borderId="16" xfId="0" applyNumberFormat="1" applyFont="1" applyFill="1" applyBorder="1" applyAlignment="1" applyProtection="1">
      <alignment horizontal="center"/>
    </xf>
    <xf numFmtId="10" fontId="2" fillId="0" borderId="73" xfId="0" applyNumberFormat="1" applyFont="1" applyFill="1" applyBorder="1" applyAlignment="1" applyProtection="1">
      <alignment horizontal="center"/>
    </xf>
    <xf numFmtId="0" fontId="2" fillId="0" borderId="16" xfId="0" applyNumberFormat="1" applyFont="1" applyFill="1" applyBorder="1" applyAlignment="1" applyProtection="1"/>
    <xf numFmtId="0" fontId="2" fillId="4" borderId="28" xfId="0" applyNumberFormat="1" applyFont="1" applyFill="1" applyBorder="1" applyAlignment="1" applyProtection="1">
      <alignment horizontal="center"/>
    </xf>
    <xf numFmtId="3" fontId="2" fillId="0" borderId="21" xfId="0" applyNumberFormat="1" applyFont="1" applyFill="1" applyBorder="1" applyAlignment="1" applyProtection="1">
      <alignment horizontal="center"/>
    </xf>
    <xf numFmtId="0" fontId="2" fillId="4" borderId="29" xfId="0" applyNumberFormat="1" applyFont="1" applyFill="1" applyBorder="1" applyAlignment="1" applyProtection="1">
      <alignment horizontal="center"/>
    </xf>
    <xf numFmtId="3" fontId="2" fillId="0" borderId="27" xfId="0" applyNumberFormat="1" applyFont="1" applyFill="1" applyBorder="1" applyAlignment="1" applyProtection="1">
      <alignment horizontal="center"/>
    </xf>
    <xf numFmtId="0" fontId="10" fillId="0" borderId="0" xfId="0" applyNumberFormat="1" applyFont="1" applyFill="1" applyAlignment="1" applyProtection="1">
      <alignment horizontal="center" vertical="center"/>
    </xf>
    <xf numFmtId="0" fontId="2" fillId="4" borderId="17" xfId="0" applyNumberFormat="1" applyFont="1" applyFill="1" applyBorder="1" applyAlignment="1" applyProtection="1">
      <alignment horizontal="center" vertical="center" wrapText="1"/>
    </xf>
    <xf numFmtId="0" fontId="2" fillId="4" borderId="17" xfId="0" applyNumberFormat="1" applyFont="1" applyFill="1" applyBorder="1" applyAlignment="1" applyProtection="1">
      <alignment horizontal="right"/>
    </xf>
    <xf numFmtId="0" fontId="2" fillId="4" borderId="10" xfId="0" applyNumberFormat="1" applyFont="1" applyFill="1" applyBorder="1" applyAlignment="1" applyProtection="1">
      <alignment horizontal="right"/>
    </xf>
    <xf numFmtId="0" fontId="2" fillId="4" borderId="46" xfId="0" applyNumberFormat="1" applyFont="1" applyFill="1" applyBorder="1" applyAlignment="1" applyProtection="1">
      <alignment horizontal="right"/>
    </xf>
    <xf numFmtId="0" fontId="2" fillId="4" borderId="10" xfId="0" applyNumberFormat="1" applyFont="1" applyFill="1" applyBorder="1" applyAlignment="1" applyProtection="1">
      <alignment horizontal="center" vertical="center"/>
    </xf>
    <xf numFmtId="0" fontId="2" fillId="4" borderId="10" xfId="0" applyNumberFormat="1" applyFont="1" applyFill="1" applyBorder="1" applyAlignment="1" applyProtection="1">
      <alignment horizontal="center" vertical="center" wrapText="1"/>
    </xf>
    <xf numFmtId="0" fontId="2" fillId="4" borderId="19" xfId="0" applyNumberFormat="1" applyFont="1" applyFill="1" applyBorder="1" applyAlignment="1" applyProtection="1">
      <alignment horizontal="center" vertical="center" wrapText="1"/>
    </xf>
    <xf numFmtId="0" fontId="2" fillId="4" borderId="14" xfId="0" applyNumberFormat="1" applyFont="1" applyFill="1" applyBorder="1" applyAlignment="1" applyProtection="1">
      <alignment horizontal="center" vertical="center" wrapText="1"/>
    </xf>
    <xf numFmtId="0" fontId="2" fillId="4" borderId="15" xfId="0" applyNumberFormat="1" applyFont="1" applyFill="1" applyBorder="1" applyAlignment="1" applyProtection="1">
      <alignment horizontal="center" vertical="center" wrapText="1"/>
    </xf>
    <xf numFmtId="0" fontId="2" fillId="4" borderId="23" xfId="0" applyNumberFormat="1" applyFont="1" applyFill="1" applyBorder="1" applyAlignment="1" applyProtection="1">
      <alignment horizontal="center" vertical="center" wrapText="1"/>
    </xf>
    <xf numFmtId="0" fontId="2" fillId="0" borderId="27" xfId="0" applyNumberFormat="1" applyFont="1" applyFill="1" applyBorder="1" applyAlignment="1" applyProtection="1">
      <alignment horizontal="center"/>
    </xf>
    <xf numFmtId="0" fontId="2" fillId="4" borderId="17" xfId="0" applyNumberFormat="1" applyFont="1" applyFill="1" applyBorder="1" applyAlignment="1" applyProtection="1">
      <alignment horizontal="center" vertical="center"/>
    </xf>
    <xf numFmtId="0" fontId="2" fillId="4" borderId="13" xfId="0" applyNumberFormat="1" applyFont="1" applyFill="1" applyBorder="1" applyAlignment="1" applyProtection="1">
      <alignment horizontal="center" vertical="center" wrapText="1"/>
    </xf>
    <xf numFmtId="0" fontId="2" fillId="4" borderId="23" xfId="0" applyNumberFormat="1" applyFont="1" applyFill="1" applyBorder="1" applyAlignment="1" applyProtection="1">
      <alignment horizontal="center"/>
    </xf>
    <xf numFmtId="14" fontId="2" fillId="4" borderId="17" xfId="0" applyNumberFormat="1" applyFont="1" applyFill="1" applyBorder="1" applyAlignment="1" applyProtection="1">
      <alignment horizontal="center"/>
    </xf>
    <xf numFmtId="0" fontId="2" fillId="4" borderId="42" xfId="0" applyNumberFormat="1" applyFont="1" applyFill="1" applyBorder="1" applyAlignment="1" applyProtection="1"/>
    <xf numFmtId="0" fontId="2" fillId="4" borderId="43" xfId="0" applyNumberFormat="1" applyFont="1" applyFill="1" applyBorder="1" applyAlignment="1" applyProtection="1"/>
    <xf numFmtId="0" fontId="8" fillId="4" borderId="15" xfId="0" applyNumberFormat="1" applyFont="1" applyFill="1" applyBorder="1" applyAlignment="1" applyProtection="1"/>
    <xf numFmtId="1" fontId="2" fillId="4" borderId="17" xfId="0" applyNumberFormat="1" applyFont="1" applyFill="1" applyBorder="1" applyAlignment="1" applyProtection="1">
      <alignment horizontal="center"/>
    </xf>
    <xf numFmtId="0" fontId="2" fillId="0" borderId="0" xfId="0" applyNumberFormat="1" applyFont="1" applyFill="1" applyAlignment="1" applyProtection="1">
      <alignment horizontal="left"/>
    </xf>
    <xf numFmtId="0" fontId="39" fillId="0" borderId="64" xfId="0" applyNumberFormat="1" applyFont="1" applyFill="1" applyBorder="1" applyAlignment="1" applyProtection="1">
      <alignment horizontal="center" vertical="center" wrapText="1"/>
    </xf>
    <xf numFmtId="0" fontId="48" fillId="0" borderId="0" xfId="0" applyNumberFormat="1" applyFont="1" applyFill="1" applyAlignment="1" applyProtection="1">
      <alignment horizontal="left" vertical="center" wrapText="1"/>
    </xf>
    <xf numFmtId="14" fontId="68" fillId="0" borderId="0" xfId="0" applyNumberFormat="1" applyFont="1" applyFill="1" applyAlignment="1" applyProtection="1">
      <alignment horizontal="center" vertical="center" wrapText="1"/>
    </xf>
    <xf numFmtId="0" fontId="67" fillId="0" borderId="0" xfId="0" applyNumberFormat="1" applyFont="1" applyFill="1" applyAlignment="1" applyProtection="1">
      <alignment horizontal="center" vertical="center" wrapText="1"/>
    </xf>
    <xf numFmtId="0" fontId="67" fillId="0" borderId="0" xfId="0" quotePrefix="1" applyNumberFormat="1" applyFont="1" applyFill="1" applyAlignment="1" applyProtection="1">
      <alignment horizontal="center" vertical="center" wrapText="1"/>
    </xf>
    <xf numFmtId="9" fontId="67" fillId="13" borderId="0" xfId="0" applyNumberFormat="1" applyFont="1" applyFill="1" applyAlignment="1" applyProtection="1">
      <alignment horizontal="center" vertical="center" wrapText="1"/>
    </xf>
    <xf numFmtId="0" fontId="67" fillId="13" borderId="0" xfId="0" applyNumberFormat="1" applyFont="1" applyFill="1" applyAlignment="1" applyProtection="1">
      <alignment horizontal="center" vertical="center" wrapText="1"/>
    </xf>
    <xf numFmtId="0" fontId="39" fillId="18" borderId="0" xfId="0" applyNumberFormat="1" applyFont="1" applyFill="1" applyAlignment="1" applyProtection="1">
      <alignment horizontal="center" vertical="center" wrapText="1"/>
      <protection locked="0"/>
    </xf>
    <xf numFmtId="3" fontId="39" fillId="19" borderId="0" xfId="0" quotePrefix="1" applyNumberFormat="1" applyFont="1" applyFill="1" applyAlignment="1" applyProtection="1">
      <alignment horizontal="center" vertical="center" wrapText="1"/>
    </xf>
    <xf numFmtId="166" fontId="39" fillId="21" borderId="0" xfId="0" applyNumberFormat="1" applyFont="1" applyFill="1" applyAlignment="1" applyProtection="1">
      <alignment horizontal="center" vertical="center" wrapText="1"/>
      <protection locked="0"/>
    </xf>
    <xf numFmtId="166" fontId="39" fillId="21" borderId="0" xfId="0" quotePrefix="1" applyNumberFormat="1" applyFont="1" applyFill="1" applyAlignment="1" applyProtection="1">
      <alignment horizontal="center" vertical="center" wrapText="1"/>
      <protection locked="0"/>
    </xf>
    <xf numFmtId="166" fontId="39" fillId="21" borderId="0" xfId="0" applyNumberFormat="1" applyFont="1" applyFill="1" applyAlignment="1" applyProtection="1">
      <alignment horizontal="center" vertical="center" wrapText="1"/>
    </xf>
    <xf numFmtId="0" fontId="81" fillId="18" borderId="0" xfId="0" applyNumberFormat="1" applyFont="1" applyFill="1" applyAlignment="1" applyProtection="1">
      <alignment horizontal="right" vertical="center" wrapText="1"/>
      <protection locked="0"/>
    </xf>
    <xf numFmtId="0" fontId="81" fillId="18" borderId="0" xfId="0" applyNumberFormat="1" applyFont="1" applyFill="1" applyAlignment="1" applyProtection="1">
      <alignment horizontal="center" vertical="center" wrapText="1"/>
      <protection locked="0"/>
    </xf>
    <xf numFmtId="0" fontId="0" fillId="0" borderId="0" xfId="0" quotePrefix="1" applyNumberFormat="1" applyFill="1" applyAlignment="1" applyProtection="1">
      <alignment horizontal="center" vertical="center" wrapText="1"/>
      <protection locked="0"/>
    </xf>
    <xf numFmtId="9" fontId="81" fillId="18" borderId="0" xfId="0" applyNumberFormat="1" applyFont="1" applyFill="1" applyAlignment="1" applyProtection="1">
      <alignment horizontal="center" vertical="center" wrapText="1"/>
      <protection locked="0"/>
    </xf>
    <xf numFmtId="9" fontId="81" fillId="0" borderId="0" xfId="0" applyNumberFormat="1" applyFont="1" applyFill="1" applyAlignment="1" applyProtection="1">
      <alignment horizontal="center" vertical="center" wrapText="1"/>
      <protection locked="0"/>
    </xf>
    <xf numFmtId="0" fontId="56" fillId="10" borderId="0" xfId="0" applyNumberFormat="1" applyFont="1" applyFill="1" applyAlignment="1" applyProtection="1">
      <alignment horizontal="center" vertical="center" wrapText="1"/>
    </xf>
    <xf numFmtId="0" fontId="0" fillId="21" borderId="0" xfId="0" applyNumberFormat="1" applyFill="1" applyAlignment="1" applyProtection="1">
      <alignment horizontal="right"/>
    </xf>
    <xf numFmtId="0" fontId="28" fillId="5" borderId="13" xfId="0" applyNumberFormat="1" applyFont="1" applyFill="1" applyBorder="1" applyAlignment="1" applyProtection="1"/>
    <xf numFmtId="0" fontId="28" fillId="5" borderId="14" xfId="0" applyNumberFormat="1" applyFont="1" applyFill="1" applyBorder="1" applyAlignment="1" applyProtection="1">
      <alignment horizontal="center"/>
    </xf>
    <xf numFmtId="14" fontId="28" fillId="5" borderId="14" xfId="0" applyNumberFormat="1" applyFont="1" applyFill="1" applyBorder="1" applyAlignment="1" applyProtection="1">
      <alignment horizontal="center"/>
    </xf>
    <xf numFmtId="14" fontId="28" fillId="5" borderId="15" xfId="0" applyNumberFormat="1" applyFont="1" applyFill="1" applyBorder="1" applyAlignment="1" applyProtection="1">
      <alignment horizontal="center"/>
    </xf>
    <xf numFmtId="0" fontId="30" fillId="3" borderId="16" xfId="0" applyNumberFormat="1" applyFont="1" applyFill="1" applyBorder="1" applyAlignment="1" applyProtection="1">
      <alignment horizontal="center" vertical="center"/>
    </xf>
    <xf numFmtId="0" fontId="30" fillId="3" borderId="0" xfId="0" applyNumberFormat="1" applyFont="1" applyFill="1" applyAlignment="1" applyProtection="1">
      <alignment horizontal="center" vertical="center"/>
    </xf>
    <xf numFmtId="0" fontId="30" fillId="3" borderId="20" xfId="0" applyNumberFormat="1" applyFont="1" applyFill="1" applyBorder="1" applyAlignment="1" applyProtection="1">
      <alignment horizontal="center" vertical="center"/>
    </xf>
    <xf numFmtId="0" fontId="31" fillId="3" borderId="19" xfId="0" applyNumberFormat="1" applyFont="1" applyFill="1" applyBorder="1" applyAlignment="1" applyProtection="1">
      <alignment horizontal="center" vertical="center" wrapText="1"/>
    </xf>
    <xf numFmtId="0" fontId="31" fillId="3" borderId="11" xfId="0" applyNumberFormat="1" applyFont="1" applyFill="1" applyBorder="1" applyAlignment="1" applyProtection="1">
      <alignment horizontal="center" vertical="center" wrapText="1"/>
    </xf>
    <xf numFmtId="0" fontId="31" fillId="3" borderId="21" xfId="0" applyNumberFormat="1" applyFont="1" applyFill="1" applyBorder="1" applyAlignment="1" applyProtection="1">
      <alignment horizontal="center" vertical="center" wrapText="1"/>
    </xf>
    <xf numFmtId="0" fontId="28" fillId="3" borderId="13" xfId="0" applyNumberFormat="1" applyFont="1" applyFill="1" applyBorder="1" applyAlignment="1" applyProtection="1">
      <alignment horizontal="center" vertical="center" wrapText="1"/>
    </xf>
    <xf numFmtId="0" fontId="28" fillId="3" borderId="14" xfId="0" applyNumberFormat="1" applyFont="1" applyFill="1" applyBorder="1" applyAlignment="1" applyProtection="1">
      <alignment horizontal="center" vertical="center" wrapText="1"/>
    </xf>
    <xf numFmtId="0" fontId="28" fillId="3" borderId="15" xfId="0" applyNumberFormat="1" applyFont="1" applyFill="1" applyBorder="1" applyAlignment="1" applyProtection="1">
      <alignment horizontal="center" vertical="center" wrapText="1"/>
    </xf>
    <xf numFmtId="14" fontId="32" fillId="0" borderId="13" xfId="0" applyNumberFormat="1" applyFont="1" applyFill="1" applyBorder="1" applyAlignment="1" applyProtection="1">
      <alignment horizontal="center"/>
    </xf>
    <xf numFmtId="3" fontId="28" fillId="3" borderId="13" xfId="0" applyNumberFormat="1" applyFont="1" applyFill="1" applyBorder="1" applyAlignment="1" applyProtection="1"/>
    <xf numFmtId="3" fontId="28" fillId="3" borderId="14" xfId="0" applyNumberFormat="1" applyFont="1" applyFill="1" applyBorder="1" applyAlignment="1" applyProtection="1"/>
    <xf numFmtId="3" fontId="28" fillId="3" borderId="15" xfId="0" applyNumberFormat="1" applyFont="1" applyFill="1" applyBorder="1" applyAlignment="1" applyProtection="1"/>
    <xf numFmtId="3" fontId="28" fillId="3" borderId="13" xfId="0" applyNumberFormat="1" applyFont="1" applyFill="1" applyBorder="1" applyAlignment="1" applyProtection="1"/>
    <xf numFmtId="3" fontId="28" fillId="3" borderId="14" xfId="0" applyNumberFormat="1" applyFont="1" applyFill="1" applyBorder="1" applyAlignment="1" applyProtection="1"/>
    <xf numFmtId="3" fontId="28" fillId="3" borderId="15" xfId="0" applyNumberFormat="1" applyFont="1" applyFill="1" applyBorder="1" applyAlignment="1" applyProtection="1"/>
    <xf numFmtId="14" fontId="2" fillId="4" borderId="49" xfId="0" applyNumberFormat="1" applyFont="1" applyFill="1" applyBorder="1" applyAlignment="1" applyProtection="1"/>
    <xf numFmtId="0" fontId="17" fillId="6" borderId="52" xfId="0" applyNumberFormat="1" applyFont="1" applyFill="1" applyBorder="1" applyAlignment="1" applyProtection="1">
      <alignment vertical="center"/>
    </xf>
    <xf numFmtId="169" fontId="2" fillId="4" borderId="49" xfId="0" applyNumberFormat="1" applyFont="1" applyFill="1" applyBorder="1" applyAlignment="1" applyProtection="1"/>
    <xf numFmtId="170" fontId="2" fillId="4" borderId="49" xfId="0" applyNumberFormat="1" applyFont="1" applyFill="1" applyBorder="1" applyAlignment="1" applyProtection="1"/>
    <xf numFmtId="0" fontId="17" fillId="6" borderId="47" xfId="0" applyNumberFormat="1" applyFont="1" applyFill="1" applyBorder="1" applyAlignment="1" applyProtection="1">
      <alignment vertical="center"/>
    </xf>
    <xf numFmtId="0" fontId="17" fillId="6" borderId="48" xfId="0" applyNumberFormat="1" applyFont="1" applyFill="1" applyBorder="1" applyAlignment="1" applyProtection="1">
      <alignment vertical="center"/>
    </xf>
    <xf numFmtId="0" fontId="17" fillId="6" borderId="49" xfId="0" applyNumberFormat="1" applyFont="1" applyFill="1" applyBorder="1" applyAlignment="1" applyProtection="1">
      <alignment horizontal="center" vertical="center"/>
    </xf>
    <xf numFmtId="170" fontId="8" fillId="4" borderId="49" xfId="0" applyNumberFormat="1" applyFont="1" applyFill="1" applyBorder="1" applyAlignment="1" applyProtection="1"/>
    <xf numFmtId="0" fontId="17" fillId="6" borderId="52" xfId="0" applyNumberFormat="1" applyFont="1" applyFill="1" applyBorder="1" applyAlignment="1" applyProtection="1">
      <alignment horizontal="left" vertical="center" indent="1"/>
    </xf>
    <xf numFmtId="166" fontId="2" fillId="4" borderId="49" xfId="0" applyNumberFormat="1" applyFont="1" applyFill="1" applyBorder="1" applyAlignment="1" applyProtection="1"/>
    <xf numFmtId="0" fontId="2" fillId="2" borderId="47" xfId="0" applyNumberFormat="1" applyFont="1" applyFill="1" applyBorder="1" applyAlignment="1" applyProtection="1"/>
    <xf numFmtId="3" fontId="2" fillId="4" borderId="49" xfId="0" applyNumberFormat="1" applyFont="1" applyFill="1" applyBorder="1" applyAlignment="1" applyProtection="1"/>
    <xf numFmtId="2" fontId="2" fillId="4" borderId="49" xfId="0" applyNumberFormat="1" applyFont="1" applyFill="1" applyBorder="1" applyAlignment="1" applyProtection="1"/>
    <xf numFmtId="0" fontId="8" fillId="4" borderId="47" xfId="0" applyNumberFormat="1" applyFont="1" applyFill="1" applyBorder="1" applyAlignment="1" applyProtection="1">
      <alignment horizontal="left" vertical="center"/>
    </xf>
    <xf numFmtId="0" fontId="8" fillId="4" borderId="48" xfId="0" applyNumberFormat="1" applyFont="1" applyFill="1" applyBorder="1" applyAlignment="1" applyProtection="1">
      <alignment horizontal="center" vertical="center" wrapText="1"/>
    </xf>
    <xf numFmtId="0" fontId="8" fillId="4" borderId="49"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center" vertical="center" wrapText="1"/>
    </xf>
    <xf numFmtId="4" fontId="2" fillId="0" borderId="1" xfId="0" applyNumberFormat="1" applyFont="1" applyFill="1" applyBorder="1" applyAlignment="1" applyProtection="1"/>
    <xf numFmtId="14" fontId="2" fillId="0" borderId="1" xfId="0" applyNumberFormat="1" applyFont="1" applyFill="1" applyBorder="1" applyAlignment="1" applyProtection="1">
      <alignment horizontal="center"/>
    </xf>
    <xf numFmtId="170" fontId="2" fillId="4" borderId="1" xfId="0" applyNumberFormat="1" applyFont="1" applyFill="1" applyBorder="1" applyAlignment="1" applyProtection="1">
      <alignment vertical="center" wrapText="1"/>
    </xf>
    <xf numFmtId="14" fontId="2" fillId="0" borderId="0" xfId="0" applyNumberFormat="1" applyFont="1" applyFill="1" applyAlignment="1" applyProtection="1">
      <alignment horizontal="center"/>
    </xf>
    <xf numFmtId="2" fontId="2" fillId="0" borderId="0" xfId="0" applyNumberFormat="1" applyFont="1" applyFill="1" applyAlignment="1" applyProtection="1">
      <alignment horizontal="center"/>
    </xf>
    <xf numFmtId="170" fontId="2" fillId="0" borderId="0" xfId="0" applyNumberFormat="1" applyFont="1" applyFill="1" applyAlignment="1" applyProtection="1">
      <alignment horizontal="center"/>
    </xf>
    <xf numFmtId="0" fontId="65" fillId="4" borderId="48" xfId="0" applyNumberFormat="1" applyFont="1" applyFill="1" applyBorder="1" applyAlignment="1" applyProtection="1">
      <alignment horizontal="center" vertical="center" wrapText="1"/>
    </xf>
    <xf numFmtId="0" fontId="65" fillId="12" borderId="48" xfId="0" applyNumberFormat="1" applyFont="1" applyFill="1" applyBorder="1" applyAlignment="1" applyProtection="1">
      <alignment horizontal="center" vertical="center" wrapText="1"/>
    </xf>
    <xf numFmtId="0" fontId="65" fillId="4" borderId="49" xfId="0" applyNumberFormat="1" applyFont="1" applyFill="1" applyBorder="1" applyAlignment="1" applyProtection="1">
      <alignment horizontal="center" vertical="center" wrapText="1"/>
    </xf>
    <xf numFmtId="0" fontId="65" fillId="0" borderId="0" xfId="0" applyNumberFormat="1" applyFont="1" applyFill="1" applyAlignment="1" applyProtection="1"/>
    <xf numFmtId="0" fontId="8" fillId="4" borderId="1" xfId="0" applyNumberFormat="1" applyFont="1" applyFill="1" applyBorder="1" applyAlignment="1" applyProtection="1">
      <alignment horizontal="center" vertical="center" wrapText="1"/>
    </xf>
    <xf numFmtId="4" fontId="2" fillId="0" borderId="1" xfId="0" applyNumberFormat="1" applyFont="1" applyFill="1" applyBorder="1" applyAlignment="1" applyProtection="1">
      <alignment horizontal="center"/>
    </xf>
    <xf numFmtId="3" fontId="12" fillId="0" borderId="25" xfId="18" applyNumberFormat="1" applyFont="1" applyFill="1" applyBorder="1"/>
    <xf numFmtId="3" fontId="12" fillId="0" borderId="26" xfId="18" applyNumberFormat="1" applyFont="1" applyFill="1" applyBorder="1"/>
    <xf numFmtId="3" fontId="12" fillId="0" borderId="27" xfId="18" applyNumberFormat="1" applyFont="1" applyFill="1" applyBorder="1"/>
    <xf numFmtId="3" fontId="2" fillId="0" borderId="0" xfId="18" applyNumberFormat="1" applyFont="1"/>
    <xf numFmtId="0" fontId="2" fillId="0" borderId="0" xfId="18" applyFont="1" applyFill="1"/>
    <xf numFmtId="3" fontId="3" fillId="0" borderId="25" xfId="18" applyNumberFormat="1" applyFont="1" applyFill="1" applyBorder="1"/>
    <xf numFmtId="3" fontId="3" fillId="0" borderId="26" xfId="18" applyNumberFormat="1" applyFont="1" applyFill="1" applyBorder="1"/>
    <xf numFmtId="3" fontId="3" fillId="0" borderId="27" xfId="18" applyNumberFormat="1" applyFont="1" applyFill="1" applyBorder="1"/>
    <xf numFmtId="3" fontId="25" fillId="0" borderId="17" xfId="18" applyNumberFormat="1" applyFont="1" applyFill="1" applyBorder="1"/>
    <xf numFmtId="3" fontId="3" fillId="0" borderId="73" xfId="18" applyNumberFormat="1" applyFont="1" applyFill="1" applyBorder="1"/>
    <xf numFmtId="3" fontId="0" fillId="0" borderId="17" xfId="0" applyNumberFormat="1" applyFill="1" applyBorder="1"/>
    <xf numFmtId="3" fontId="0" fillId="0" borderId="13" xfId="0" applyNumberFormat="1" applyFill="1" applyBorder="1"/>
    <xf numFmtId="0" fontId="0" fillId="0" borderId="17" xfId="0" applyFill="1" applyBorder="1"/>
    <xf numFmtId="0" fontId="0" fillId="0" borderId="13" xfId="0" applyFill="1" applyBorder="1"/>
    <xf numFmtId="0" fontId="91" fillId="0" borderId="0" xfId="0" applyFont="1" applyAlignment="1">
      <alignment vertical="center"/>
    </xf>
    <xf numFmtId="0" fontId="73" fillId="0" borderId="0" xfId="0" applyFont="1" applyAlignment="1">
      <alignment horizontal="center" vertical="center"/>
    </xf>
    <xf numFmtId="0" fontId="42" fillId="8" borderId="0" xfId="0" applyNumberFormat="1" applyFont="1" applyFill="1" applyAlignment="1" applyProtection="1">
      <alignment horizontal="center"/>
    </xf>
    <xf numFmtId="0" fontId="42" fillId="0" borderId="0" xfId="4" applyFont="1" applyAlignment="1"/>
    <xf numFmtId="0" fontId="42" fillId="11" borderId="0" xfId="0" applyNumberFormat="1" applyFont="1" applyFill="1" applyAlignment="1" applyProtection="1">
      <alignment horizontal="center"/>
    </xf>
    <xf numFmtId="0" fontId="0" fillId="0" borderId="0" xfId="0"/>
    <xf numFmtId="0" fontId="0" fillId="0" borderId="0" xfId="0" applyNumberFormat="1" applyFill="1" applyAlignment="1" applyProtection="1">
      <alignment horizontal="left" wrapText="1"/>
    </xf>
    <xf numFmtId="0" fontId="50" fillId="0" borderId="0" xfId="0" applyFont="1" applyAlignment="1">
      <alignment horizontal="left"/>
    </xf>
    <xf numFmtId="0" fontId="70" fillId="0" borderId="0" xfId="0" applyFont="1" applyAlignment="1">
      <alignment horizontal="left"/>
    </xf>
    <xf numFmtId="0" fontId="57" fillId="17" borderId="13" xfId="0" quotePrefix="1" applyNumberFormat="1" applyFont="1" applyFill="1" applyBorder="1" applyAlignment="1" applyProtection="1">
      <alignment horizontal="left" vertical="center"/>
    </xf>
    <xf numFmtId="0" fontId="57" fillId="17" borderId="14" xfId="0" quotePrefix="1" applyNumberFormat="1" applyFont="1" applyFill="1" applyBorder="1" applyAlignment="1" applyProtection="1">
      <alignment horizontal="left" vertical="center"/>
    </xf>
    <xf numFmtId="0" fontId="57" fillId="17" borderId="15" xfId="0" quotePrefix="1" applyNumberFormat="1" applyFont="1" applyFill="1" applyBorder="1" applyAlignment="1" applyProtection="1">
      <alignment horizontal="left" vertical="center"/>
    </xf>
    <xf numFmtId="0" fontId="0" fillId="0" borderId="0" xfId="0" applyNumberFormat="1" applyFill="1" applyAlignment="1" applyProtection="1">
      <alignment horizontal="left" vertical="center" wrapText="1"/>
    </xf>
    <xf numFmtId="2" fontId="3" fillId="0" borderId="24" xfId="18" applyNumberFormat="1" applyFont="1" applyBorder="1" applyAlignment="1">
      <alignment horizontal="left" vertical="top" wrapText="1"/>
    </xf>
    <xf numFmtId="2" fontId="3" fillId="0" borderId="22" xfId="18" applyNumberFormat="1" applyFont="1" applyBorder="1" applyAlignment="1">
      <alignment horizontal="left" vertical="top" wrapText="1"/>
    </xf>
    <xf numFmtId="2" fontId="3" fillId="0" borderId="18" xfId="18" applyNumberFormat="1" applyFont="1" applyBorder="1" applyAlignment="1">
      <alignment horizontal="left" vertical="top" wrapText="1"/>
    </xf>
    <xf numFmtId="0" fontId="3" fillId="0" borderId="24" xfId="18" applyFont="1" applyBorder="1" applyAlignment="1">
      <alignment horizontal="left" vertical="top" wrapText="1"/>
    </xf>
    <xf numFmtId="0" fontId="3" fillId="0" borderId="22" xfId="18" applyFont="1" applyBorder="1" applyAlignment="1">
      <alignment horizontal="left" vertical="top" wrapText="1"/>
    </xf>
    <xf numFmtId="0" fontId="3" fillId="0" borderId="18" xfId="18" applyFont="1" applyBorder="1" applyAlignment="1">
      <alignment horizontal="left" vertical="top" wrapText="1"/>
    </xf>
    <xf numFmtId="49" fontId="2" fillId="4" borderId="36" xfId="0" applyNumberFormat="1" applyFont="1" applyFill="1" applyBorder="1" applyAlignment="1" applyProtection="1">
      <alignment horizontal="center"/>
    </xf>
    <xf numFmtId="49" fontId="2" fillId="4" borderId="29" xfId="0" applyNumberFormat="1" applyFont="1" applyFill="1" applyBorder="1" applyAlignment="1" applyProtection="1">
      <alignment horizontal="center"/>
    </xf>
    <xf numFmtId="0" fontId="2" fillId="4" borderId="17" xfId="0" applyNumberFormat="1" applyFont="1" applyFill="1" applyBorder="1" applyAlignment="1" applyProtection="1">
      <alignment horizontal="left"/>
    </xf>
    <xf numFmtId="0" fontId="2" fillId="4" borderId="13" xfId="0" applyNumberFormat="1" applyFont="1" applyFill="1" applyBorder="1" applyAlignment="1" applyProtection="1">
      <alignment horizontal="center"/>
    </xf>
    <xf numFmtId="0" fontId="2" fillId="4" borderId="15" xfId="0" applyNumberFormat="1" applyFont="1" applyFill="1" applyBorder="1" applyAlignment="1" applyProtection="1">
      <alignment horizontal="center"/>
    </xf>
    <xf numFmtId="49" fontId="2" fillId="4" borderId="34" xfId="0" applyNumberFormat="1" applyFont="1" applyFill="1" applyBorder="1" applyAlignment="1" applyProtection="1">
      <alignment horizontal="center"/>
    </xf>
    <xf numFmtId="49" fontId="2" fillId="4" borderId="28" xfId="0" applyNumberFormat="1" applyFont="1" applyFill="1" applyBorder="1" applyAlignment="1" applyProtection="1">
      <alignment horizontal="center"/>
    </xf>
    <xf numFmtId="49" fontId="2" fillId="4" borderId="35" xfId="0" applyNumberFormat="1" applyFont="1" applyFill="1" applyBorder="1" applyAlignment="1" applyProtection="1">
      <alignment horizontal="center"/>
    </xf>
    <xf numFmtId="49" fontId="2" fillId="4" borderId="33" xfId="0" applyNumberFormat="1" applyFont="1" applyFill="1" applyBorder="1" applyAlignment="1" applyProtection="1">
      <alignment horizontal="center"/>
    </xf>
    <xf numFmtId="0" fontId="74" fillId="0" borderId="0" xfId="0" applyNumberFormat="1" applyFont="1" applyFill="1" applyAlignment="1" applyProtection="1">
      <alignment horizontal="left" vertical="center" wrapText="1"/>
    </xf>
    <xf numFmtId="0" fontId="49" fillId="8" borderId="0" xfId="0" applyNumberFormat="1" applyFont="1" applyFill="1" applyAlignment="1" applyProtection="1">
      <alignment horizontal="left" vertical="center" wrapText="1"/>
    </xf>
    <xf numFmtId="0" fontId="49" fillId="15" borderId="67" xfId="0" applyNumberFormat="1" applyFont="1" applyFill="1" applyBorder="1" applyAlignment="1" applyProtection="1">
      <alignment horizontal="center" vertical="center" wrapText="1"/>
    </xf>
    <xf numFmtId="0" fontId="49" fillId="15" borderId="68" xfId="0" applyNumberFormat="1" applyFont="1" applyFill="1" applyBorder="1" applyAlignment="1" applyProtection="1">
      <alignment horizontal="center" vertical="center" wrapText="1"/>
    </xf>
    <xf numFmtId="0" fontId="43" fillId="0" borderId="69" xfId="4" quotePrefix="1" applyBorder="1" applyAlignment="1">
      <alignment horizontal="center" vertical="center" wrapText="1"/>
    </xf>
    <xf numFmtId="0" fontId="43" fillId="0" borderId="70" xfId="4" applyBorder="1" applyAlignment="1">
      <alignment horizontal="center" vertical="center" wrapText="1"/>
    </xf>
    <xf numFmtId="0" fontId="43" fillId="0" borderId="69" xfId="4" applyBorder="1" applyAlignment="1">
      <alignment horizontal="center" vertical="center" wrapText="1"/>
    </xf>
    <xf numFmtId="0" fontId="43" fillId="0" borderId="71" xfId="4" applyBorder="1" applyAlignment="1">
      <alignment horizontal="center" vertical="center" wrapText="1"/>
    </xf>
    <xf numFmtId="0" fontId="43" fillId="0" borderId="72" xfId="4" applyBorder="1" applyAlignment="1">
      <alignment horizontal="center" vertical="center" wrapText="1"/>
    </xf>
    <xf numFmtId="0" fontId="29" fillId="3" borderId="19" xfId="0" applyNumberFormat="1" applyFont="1" applyFill="1" applyBorder="1" applyAlignment="1" applyProtection="1">
      <alignment horizontal="center" vertical="center" wrapText="1"/>
    </xf>
    <xf numFmtId="0" fontId="30" fillId="3" borderId="11" xfId="0" applyNumberFormat="1" applyFont="1" applyFill="1" applyBorder="1" applyAlignment="1" applyProtection="1">
      <alignment horizontal="center" vertical="center" wrapText="1"/>
    </xf>
    <xf numFmtId="0" fontId="30" fillId="3" borderId="21" xfId="0" applyNumberFormat="1" applyFont="1" applyFill="1" applyBorder="1" applyAlignment="1" applyProtection="1">
      <alignment horizontal="center" vertical="center" wrapText="1"/>
    </xf>
    <xf numFmtId="0" fontId="30" fillId="3" borderId="16" xfId="0" applyNumberFormat="1" applyFont="1" applyFill="1" applyBorder="1" applyAlignment="1" applyProtection="1">
      <alignment horizontal="center" vertical="center" wrapText="1"/>
    </xf>
    <xf numFmtId="0" fontId="30" fillId="3" borderId="0" xfId="0" applyNumberFormat="1" applyFont="1" applyFill="1" applyAlignment="1" applyProtection="1">
      <alignment horizontal="center" vertical="center" wrapText="1"/>
    </xf>
    <xf numFmtId="0" fontId="30" fillId="3" borderId="20" xfId="0" applyNumberFormat="1" applyFont="1" applyFill="1" applyBorder="1" applyAlignment="1" applyProtection="1">
      <alignment horizontal="center" vertical="center" wrapText="1"/>
    </xf>
    <xf numFmtId="0" fontId="30" fillId="3" borderId="24" xfId="0" applyNumberFormat="1" applyFont="1" applyFill="1" applyBorder="1" applyAlignment="1" applyProtection="1">
      <alignment horizontal="center" vertical="center" wrapText="1"/>
    </xf>
    <xf numFmtId="0" fontId="30" fillId="3" borderId="22" xfId="0" applyNumberFormat="1" applyFont="1" applyFill="1" applyBorder="1" applyAlignment="1" applyProtection="1">
      <alignment horizontal="center" vertical="center" wrapText="1"/>
    </xf>
    <xf numFmtId="0" fontId="30" fillId="3" borderId="18" xfId="0" applyNumberFormat="1" applyFont="1" applyFill="1" applyBorder="1" applyAlignment="1" applyProtection="1">
      <alignment horizontal="center" vertical="center" wrapText="1"/>
    </xf>
    <xf numFmtId="0" fontId="35" fillId="0" borderId="0" xfId="0" applyFont="1" applyAlignment="1">
      <alignment horizontal="left" vertical="top" wrapText="1"/>
    </xf>
    <xf numFmtId="0" fontId="33" fillId="6" borderId="0" xfId="0" applyNumberFormat="1" applyFont="1" applyFill="1" applyAlignment="1" applyProtection="1">
      <alignment horizontal="center" vertical="center"/>
    </xf>
    <xf numFmtId="0" fontId="0" fillId="0" borderId="0" xfId="0" applyAlignment="1">
      <alignment horizontal="center"/>
    </xf>
    <xf numFmtId="0" fontId="2" fillId="0" borderId="47" xfId="13" applyFont="1" applyBorder="1" applyAlignment="1">
      <alignment horizontal="left" wrapText="1"/>
    </xf>
    <xf numFmtId="0" fontId="2" fillId="0" borderId="48" xfId="13" applyFont="1" applyBorder="1" applyAlignment="1">
      <alignment horizontal="left" wrapText="1"/>
    </xf>
    <xf numFmtId="0" fontId="34" fillId="0" borderId="0" xfId="0" applyFont="1" applyAlignment="1">
      <alignment horizontal="left" vertical="top" wrapText="1"/>
    </xf>
  </cellXfs>
  <cellStyles count="35">
    <cellStyle name="Comma 2" xfId="1" xr:uid="{38AA1CA1-B1D6-4E18-8A15-2626A9B7F9E8}"/>
    <cellStyle name="Euro" xfId="2" xr:uid="{B38CBAEF-EF15-4077-ACD9-7AFDDAAD2C96}"/>
    <cellStyle name="Euro 2" xfId="29" xr:uid="{48BB5C89-7056-4B87-8F94-684B4C159FF1}"/>
    <cellStyle name="Hyperlink_Breakdown tables v16" xfId="3" xr:uid="{6DB2C7CF-FCA6-4807-A253-17A84E26D2C1}"/>
    <cellStyle name="Lien hypertexte" xfId="4" builtinId="8"/>
    <cellStyle name="Lien hypertexte 2" xfId="5" xr:uid="{BD606B26-BD93-4F0B-A695-DD52EE18277D}"/>
    <cellStyle name="Migliaia (0)_DATABOOK_Comifin (Finanziamenti)2" xfId="6" xr:uid="{9621B9DC-330F-4E3B-AE7D-8DAD2D90604B}"/>
    <cellStyle name="Migliaia_BCC FORNACETTE" xfId="7" xr:uid="{04DD9674-093B-4580-995C-A5EF18F3693A}"/>
    <cellStyle name="Milliers" xfId="8" builtinId="3"/>
    <cellStyle name="Milliers 12" xfId="34" xr:uid="{B96FCEB3-FDE2-4737-AC5F-CFCEE192D87B}"/>
    <cellStyle name="Milliers 2" xfId="9" xr:uid="{6944C47D-EDB4-4B1C-AF6B-31D3111A00FD}"/>
    <cellStyle name="Milliers 3" xfId="10" xr:uid="{29998261-2239-42BF-9B4B-CE90AE45935D}"/>
    <cellStyle name="Milliers 4" xfId="11" xr:uid="{B807868B-BE00-40B9-9CA2-55B60C9BE2B4}"/>
    <cellStyle name="Milliers 5" xfId="32" xr:uid="{765D467A-92C7-4858-9214-87748BCE293F}"/>
    <cellStyle name="Normal" xfId="0" builtinId="0"/>
    <cellStyle name="Normal 10" xfId="12" xr:uid="{A7791BBC-4557-41E3-9522-7EEEC4FC82F5}"/>
    <cellStyle name="Normal 10 2" xfId="33" xr:uid="{88549220-0A78-4BB9-B44C-9A4ACF1FFD61}"/>
    <cellStyle name="Normal 2" xfId="13" xr:uid="{3B090471-2CA9-45AD-A8C1-2E6766D8375B}"/>
    <cellStyle name="Normal 2 2" xfId="14" xr:uid="{4C316570-4A7E-4CFE-957E-FEA5AEE0159E}"/>
    <cellStyle name="Normal 3" xfId="15" xr:uid="{CE448036-8C7E-4D1B-8A1F-3F682AF48D0F}"/>
    <cellStyle name="Normal 4" xfId="16" xr:uid="{E17C7EE7-3BD0-4022-A609-F7E4EFBD81A2}"/>
    <cellStyle name="Normal 5" xfId="17" xr:uid="{0FEB28E8-5DD9-4F1F-B27B-90B0BF3F5C73}"/>
    <cellStyle name="Normal 5 2" xfId="30" xr:uid="{C57852C4-6C72-4180-8AC5-448F29ECCB23}"/>
    <cellStyle name="Normal 6" xfId="18" xr:uid="{99FE8E64-2EA9-4AE9-B9F4-22AA710903D3}"/>
    <cellStyle name="Normal 6 2" xfId="31" xr:uid="{BE2D645C-4A08-4C2E-837A-E2A2A52A3B8A}"/>
    <cellStyle name="Normal 7" xfId="19" xr:uid="{B5CEC6EC-00C9-4F21-B7FE-68AB7E9868E5}"/>
    <cellStyle name="Normal_Feuil3" xfId="20" xr:uid="{DA12166D-2A87-4A8B-A47F-573B9CEB657C}"/>
    <cellStyle name="Normale_DATABOOK_Comifin (Finanziamenti)2" xfId="21" xr:uid="{89CE5323-AD95-49D7-AA24-190FBAD96E97}"/>
    <cellStyle name="Percent 00" xfId="22" xr:uid="{5FB808B0-70AF-40D9-84D4-CFE52FBD3A49}"/>
    <cellStyle name="Pourcentage" xfId="23" builtinId="5"/>
    <cellStyle name="Pourcentage 2" xfId="24" xr:uid="{9C49BB95-9359-4787-A5F4-20D039A1B0B5}"/>
    <cellStyle name="Pourcentage 3" xfId="25" xr:uid="{9D7EE368-03CB-4423-8191-13243EB5F401}"/>
    <cellStyle name="Standard 3" xfId="26" xr:uid="{F1B685D5-B575-48F7-A897-0A590FAB7007}"/>
    <cellStyle name="Standard_311299 freie Spitze" xfId="27" xr:uid="{41DE211C-0075-4061-A33A-08C4804B819A}"/>
    <cellStyle name="Style 1" xfId="28" xr:uid="{4BD2D859-5F31-476D-83EF-798743BB4FAA}"/>
  </cellStyles>
  <dxfs count="3">
    <dxf>
      <font>
        <b/>
        <color indexed="11"/>
      </font>
    </dxf>
    <dxf>
      <font>
        <b/>
        <color indexed="10"/>
      </font>
    </dxf>
    <dxf>
      <font>
        <b/>
        <color indexed="23"/>
      </font>
      <fill>
        <patternFill patternType="solid">
          <fgColor auto="1"/>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oneCellAnchor>
    <xdr:from>
      <xdr:col>2</xdr:col>
      <xdr:colOff>685800</xdr:colOff>
      <xdr:row>12</xdr:row>
      <xdr:rowOff>19050</xdr:rowOff>
    </xdr:from>
    <xdr:ext cx="4667250" cy="1485900"/>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667250" cy="14859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38100</xdr:colOff>
      <xdr:row>48</xdr:row>
      <xdr:rowOff>95250</xdr:rowOff>
    </xdr:from>
    <xdr:ext cx="6267450" cy="185737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6267450" cy="1857375"/>
        </a:xfrm>
        <a:prstGeom prst="rect">
          <a:avLst/>
        </a:prstGeom>
      </xdr:spPr>
    </xdr:pic>
    <xdr:clientData/>
  </xdr:oneCellAnchor>
  <xdr:oneCellAnchor>
    <xdr:from>
      <xdr:col>6</xdr:col>
      <xdr:colOff>0</xdr:colOff>
      <xdr:row>49</xdr:row>
      <xdr:rowOff>85725</xdr:rowOff>
    </xdr:from>
    <xdr:ext cx="6391275" cy="290512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tretch>
          <a:fillRect/>
        </a:stretch>
      </xdr:blipFill>
      <xdr:spPr>
        <a:xfrm>
          <a:off x="0" y="0"/>
          <a:ext cx="6391275" cy="29051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373380</xdr:colOff>
          <xdr:row>5</xdr:row>
          <xdr:rowOff>160020</xdr:rowOff>
        </xdr:from>
        <xdr:to>
          <xdr:col>6</xdr:col>
          <xdr:colOff>563880</xdr:colOff>
          <xdr:row>10</xdr:row>
          <xdr:rowOff>137160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1500-000001200000}"/>
                </a:ext>
              </a:extLst>
            </xdr:cNvPr>
            <xdr:cNvSpPr/>
          </xdr:nvSpPr>
          <xdr:spPr bwMode="auto">
            <a:xfrm>
              <a:off x="0" y="0"/>
              <a:ext cx="0" cy="0"/>
            </a:xfrm>
            <a:prstGeom prst="rect">
              <a:avLst/>
            </a:prstGeom>
            <a:solidFill>
              <a:srgbClr val="EACCF8"/>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ecbc.eu/framework/90/Obligations_&#224;_l%27Habitat_-_OH" TargetMode="External"/><Relationship Id="rId2" Type="http://schemas.openxmlformats.org/officeDocument/2006/relationships/hyperlink" Target="https://groupebpce.com/investisseurs/dette/bpce-sfh" TargetMode="External"/><Relationship Id="rId1" Type="http://schemas.openxmlformats.org/officeDocument/2006/relationships/hyperlink" Target="https://www.groupebpce.com/investisseurs/en-synthese" TargetMode="External"/><Relationship Id="rId5" Type="http://schemas.openxmlformats.org/officeDocument/2006/relationships/vmlDrawing" Target="../drawings/vmlDrawing3.vml"/><Relationship Id="rId4"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20.bin"/><Relationship Id="rId6" Type="http://schemas.openxmlformats.org/officeDocument/2006/relationships/comments" Target="../comments1.xml"/><Relationship Id="rId5" Type="http://schemas.openxmlformats.org/officeDocument/2006/relationships/image" Target="../media/image6.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www.ecbc.eu/framework/90/Obligations_%C3%A0_l%27Habitat_-_OH" TargetMode="External"/><Relationship Id="rId7" Type="http://schemas.openxmlformats.org/officeDocument/2006/relationships/hyperlink" Target="https://eur-lex.europa.eu/eli/dir/2019/2162/oj" TargetMode="External"/><Relationship Id="rId2" Type="http://schemas.openxmlformats.org/officeDocument/2006/relationships/hyperlink" Target="http://www.ecbc.eu/framework/90/Obligations_&#224;_l%27Habitat_-_OH" TargetMode="External"/><Relationship Id="rId1" Type="http://schemas.openxmlformats.org/officeDocument/2006/relationships/hyperlink" Target="https://www.groupebpce.com/investisseurs/dette/bpce-sfh/" TargetMode="External"/><Relationship Id="rId6" Type="http://schemas.openxmlformats.org/officeDocument/2006/relationships/hyperlink" Target="http://eur-lex.europa.eu/legal-content/EN/TXT/?uri=CELEX%3A32015R0061" TargetMode="External"/><Relationship Id="rId5" Type="http://schemas.openxmlformats.org/officeDocument/2006/relationships/hyperlink" Target="http://eur-lex.europa.eu/legal-content/en/TXT/?uri=celex%3A32013R0575" TargetMode="External"/><Relationship Id="rId4" Type="http://schemas.openxmlformats.org/officeDocument/2006/relationships/hyperlink" Target="https://www.bis.org/basel_framework/chapter/CRE/20.htm?tldate=2025010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324BA-6501-4D6D-AC80-C08F41F2C6E5}">
  <sheetPr>
    <tabColor rgb="FFE36E00"/>
  </sheetPr>
  <dimension ref="A1:A174"/>
  <sheetViews>
    <sheetView topLeftCell="A147" zoomScale="85" zoomScaleNormal="85" zoomScaleSheetLayoutView="90" workbookViewId="0"/>
  </sheetViews>
  <sheetFormatPr baseColWidth="10" defaultColWidth="9.33203125" defaultRowHeight="14.4" x14ac:dyDescent="0.3"/>
  <cols>
    <col min="1" max="1" width="242" customWidth="1"/>
    <col min="2" max="2" width="9.33203125" customWidth="1"/>
  </cols>
  <sheetData>
    <row r="1" spans="1:1" ht="31.5" customHeight="1" x14ac:dyDescent="0.3">
      <c r="A1" s="171" t="s">
        <v>0</v>
      </c>
    </row>
    <row r="3" spans="1:1" ht="15" x14ac:dyDescent="0.3">
      <c r="A3" s="13"/>
    </row>
    <row r="4" spans="1:1" ht="34.5" customHeight="1" x14ac:dyDescent="0.3">
      <c r="A4" s="14" t="s">
        <v>1</v>
      </c>
    </row>
    <row r="5" spans="1:1" ht="34.5" customHeight="1" x14ac:dyDescent="0.3">
      <c r="A5" s="14" t="s">
        <v>2</v>
      </c>
    </row>
    <row r="6" spans="1:1" ht="34.5" customHeight="1" x14ac:dyDescent="0.3">
      <c r="A6" s="14" t="s">
        <v>3</v>
      </c>
    </row>
    <row r="7" spans="1:1" ht="17.25" customHeight="1" x14ac:dyDescent="0.3">
      <c r="A7" s="14"/>
    </row>
    <row r="8" spans="1:1" ht="18.75" customHeight="1" x14ac:dyDescent="0.3">
      <c r="A8" s="15" t="s">
        <v>4</v>
      </c>
    </row>
    <row r="9" spans="1:1" ht="34.5" customHeight="1" x14ac:dyDescent="0.35">
      <c r="A9" s="16" t="s">
        <v>5</v>
      </c>
    </row>
    <row r="10" spans="1:1" ht="69" customHeight="1" x14ac:dyDescent="0.3">
      <c r="A10" s="17" t="s">
        <v>6</v>
      </c>
    </row>
    <row r="11" spans="1:1" ht="34.5" customHeight="1" x14ac:dyDescent="0.3">
      <c r="A11" s="17" t="s">
        <v>7</v>
      </c>
    </row>
    <row r="12" spans="1:1" ht="17.25" customHeight="1" x14ac:dyDescent="0.3">
      <c r="A12" s="17" t="s">
        <v>8</v>
      </c>
    </row>
    <row r="13" spans="1:1" ht="17.25" customHeight="1" x14ac:dyDescent="0.3">
      <c r="A13" s="17" t="s">
        <v>9</v>
      </c>
    </row>
    <row r="14" spans="1:1" ht="34.5" customHeight="1" x14ac:dyDescent="0.3">
      <c r="A14" s="17" t="s">
        <v>10</v>
      </c>
    </row>
    <row r="15" spans="1:1" ht="17.25" customHeight="1" x14ac:dyDescent="0.3">
      <c r="A15" s="17"/>
    </row>
    <row r="16" spans="1:1" ht="18.75" customHeight="1" x14ac:dyDescent="0.3">
      <c r="A16" s="15" t="s">
        <v>11</v>
      </c>
    </row>
    <row r="17" spans="1:1" ht="17.25" customHeight="1" x14ac:dyDescent="0.3">
      <c r="A17" s="242" t="s">
        <v>12</v>
      </c>
    </row>
    <row r="18" spans="1:1" ht="34.5" customHeight="1" x14ac:dyDescent="0.3">
      <c r="A18" s="243" t="s">
        <v>13</v>
      </c>
    </row>
    <row r="19" spans="1:1" ht="34.5" customHeight="1" x14ac:dyDescent="0.3">
      <c r="A19" s="243" t="s">
        <v>14</v>
      </c>
    </row>
    <row r="20" spans="1:1" ht="51.75" customHeight="1" x14ac:dyDescent="0.3">
      <c r="A20" s="243" t="s">
        <v>15</v>
      </c>
    </row>
    <row r="21" spans="1:1" ht="86.25" customHeight="1" x14ac:dyDescent="0.3">
      <c r="A21" s="243" t="s">
        <v>16</v>
      </c>
    </row>
    <row r="22" spans="1:1" ht="51.75" customHeight="1" x14ac:dyDescent="0.3">
      <c r="A22" s="243" t="s">
        <v>17</v>
      </c>
    </row>
    <row r="23" spans="1:1" ht="34.5" customHeight="1" x14ac:dyDescent="0.3">
      <c r="A23" s="243" t="s">
        <v>18</v>
      </c>
    </row>
    <row r="24" spans="1:1" ht="17.25" customHeight="1" x14ac:dyDescent="0.3">
      <c r="A24" s="243" t="s">
        <v>19</v>
      </c>
    </row>
    <row r="25" spans="1:1" ht="17.25" customHeight="1" x14ac:dyDescent="0.3">
      <c r="A25" s="242" t="s">
        <v>20</v>
      </c>
    </row>
    <row r="26" spans="1:1" ht="51.75" customHeight="1" x14ac:dyDescent="0.35">
      <c r="A26" s="244" t="s">
        <v>21</v>
      </c>
    </row>
    <row r="27" spans="1:1" ht="17.25" customHeight="1" x14ac:dyDescent="0.35">
      <c r="A27" s="244" t="s">
        <v>22</v>
      </c>
    </row>
    <row r="28" spans="1:1" ht="17.25" customHeight="1" x14ac:dyDescent="0.3">
      <c r="A28" s="242" t="s">
        <v>23</v>
      </c>
    </row>
    <row r="29" spans="1:1" ht="34.5" customHeight="1" x14ac:dyDescent="0.3">
      <c r="A29" s="243" t="s">
        <v>24</v>
      </c>
    </row>
    <row r="30" spans="1:1" ht="34.5" customHeight="1" x14ac:dyDescent="0.3">
      <c r="A30" s="243" t="s">
        <v>25</v>
      </c>
    </row>
    <row r="31" spans="1:1" ht="34.5" customHeight="1" x14ac:dyDescent="0.3">
      <c r="A31" s="243" t="s">
        <v>26</v>
      </c>
    </row>
    <row r="32" spans="1:1" ht="34.5" customHeight="1" x14ac:dyDescent="0.3">
      <c r="A32" s="243" t="s">
        <v>27</v>
      </c>
    </row>
    <row r="33" spans="1:1" ht="17.25" customHeight="1" x14ac:dyDescent="0.3">
      <c r="A33" s="243"/>
    </row>
    <row r="34" spans="1:1" ht="18.75" customHeight="1" x14ac:dyDescent="0.3">
      <c r="A34" s="15" t="s">
        <v>28</v>
      </c>
    </row>
    <row r="35" spans="1:1" ht="17.25" customHeight="1" x14ac:dyDescent="0.3">
      <c r="A35" s="242" t="s">
        <v>29</v>
      </c>
    </row>
    <row r="36" spans="1:1" ht="34.5" customHeight="1" x14ac:dyDescent="0.3">
      <c r="A36" s="243" t="s">
        <v>30</v>
      </c>
    </row>
    <row r="37" spans="1:1" ht="34.5" customHeight="1" x14ac:dyDescent="0.3">
      <c r="A37" s="243" t="s">
        <v>31</v>
      </c>
    </row>
    <row r="38" spans="1:1" ht="34.5" customHeight="1" x14ac:dyDescent="0.3">
      <c r="A38" s="243" t="s">
        <v>32</v>
      </c>
    </row>
    <row r="39" spans="1:1" ht="17.25" customHeight="1" x14ac:dyDescent="0.3">
      <c r="A39" s="243" t="s">
        <v>33</v>
      </c>
    </row>
    <row r="40" spans="1:1" ht="34.5" customHeight="1" x14ac:dyDescent="0.3">
      <c r="A40" s="243" t="s">
        <v>34</v>
      </c>
    </row>
    <row r="41" spans="1:1" ht="17.25" customHeight="1" x14ac:dyDescent="0.3">
      <c r="A41" s="242" t="s">
        <v>35</v>
      </c>
    </row>
    <row r="42" spans="1:1" ht="17.25" customHeight="1" x14ac:dyDescent="0.3">
      <c r="A42" s="243" t="s">
        <v>36</v>
      </c>
    </row>
    <row r="43" spans="1:1" ht="17.25" customHeight="1" x14ac:dyDescent="0.35">
      <c r="A43" s="244" t="s">
        <v>37</v>
      </c>
    </row>
    <row r="44" spans="1:1" ht="17.25" customHeight="1" x14ac:dyDescent="0.3">
      <c r="A44" s="242" t="s">
        <v>38</v>
      </c>
    </row>
    <row r="45" spans="1:1" ht="34.5" customHeight="1" x14ac:dyDescent="0.35">
      <c r="A45" s="244" t="s">
        <v>39</v>
      </c>
    </row>
    <row r="46" spans="1:1" ht="34.5" customHeight="1" x14ac:dyDescent="0.3">
      <c r="A46" s="243" t="s">
        <v>40</v>
      </c>
    </row>
    <row r="47" spans="1:1" ht="34.5" customHeight="1" x14ac:dyDescent="0.3">
      <c r="A47" s="243" t="s">
        <v>41</v>
      </c>
    </row>
    <row r="48" spans="1:1" ht="17.25" customHeight="1" x14ac:dyDescent="0.3">
      <c r="A48" s="243" t="s">
        <v>42</v>
      </c>
    </row>
    <row r="49" spans="1:1" ht="17.25" customHeight="1" x14ac:dyDescent="0.35">
      <c r="A49" s="244" t="s">
        <v>43</v>
      </c>
    </row>
    <row r="50" spans="1:1" ht="17.25" customHeight="1" x14ac:dyDescent="0.3">
      <c r="A50" s="242" t="s">
        <v>44</v>
      </c>
    </row>
    <row r="51" spans="1:1" ht="34.5" customHeight="1" x14ac:dyDescent="0.35">
      <c r="A51" s="244" t="s">
        <v>45</v>
      </c>
    </row>
    <row r="52" spans="1:1" ht="17.25" customHeight="1" x14ac:dyDescent="0.3">
      <c r="A52" s="243" t="s">
        <v>46</v>
      </c>
    </row>
    <row r="53" spans="1:1" ht="34.5" customHeight="1" x14ac:dyDescent="0.35">
      <c r="A53" s="244" t="s">
        <v>47</v>
      </c>
    </row>
    <row r="54" spans="1:1" ht="17.25" customHeight="1" x14ac:dyDescent="0.3">
      <c r="A54" s="242" t="s">
        <v>48</v>
      </c>
    </row>
    <row r="55" spans="1:1" ht="17.25" customHeight="1" x14ac:dyDescent="0.35">
      <c r="A55" s="244" t="s">
        <v>49</v>
      </c>
    </row>
    <row r="56" spans="1:1" ht="34.5" customHeight="1" x14ac:dyDescent="0.3">
      <c r="A56" s="243" t="s">
        <v>50</v>
      </c>
    </row>
    <row r="57" spans="1:1" ht="17.25" customHeight="1" x14ac:dyDescent="0.3">
      <c r="A57" s="243" t="s">
        <v>51</v>
      </c>
    </row>
    <row r="58" spans="1:1" ht="17.25" customHeight="1" x14ac:dyDescent="0.3">
      <c r="A58" s="243" t="s">
        <v>52</v>
      </c>
    </row>
    <row r="59" spans="1:1" ht="17.25" customHeight="1" x14ac:dyDescent="0.3">
      <c r="A59" s="242" t="s">
        <v>53</v>
      </c>
    </row>
    <row r="60" spans="1:1" ht="17.25" customHeight="1" x14ac:dyDescent="0.3">
      <c r="A60" s="243" t="s">
        <v>54</v>
      </c>
    </row>
    <row r="61" spans="1:1" ht="17.25" customHeight="1" x14ac:dyDescent="0.3">
      <c r="A61" s="18"/>
    </row>
    <row r="62" spans="1:1" ht="18.75" customHeight="1" x14ac:dyDescent="0.3">
      <c r="A62" s="15" t="s">
        <v>55</v>
      </c>
    </row>
    <row r="63" spans="1:1" ht="17.25" customHeight="1" x14ac:dyDescent="0.3">
      <c r="A63" s="242" t="s">
        <v>56</v>
      </c>
    </row>
    <row r="64" spans="1:1" ht="34.5" customHeight="1" x14ac:dyDescent="0.3">
      <c r="A64" s="243" t="s">
        <v>57</v>
      </c>
    </row>
    <row r="65" spans="1:1" ht="17.25" customHeight="1" x14ac:dyDescent="0.3">
      <c r="A65" s="243" t="s">
        <v>58</v>
      </c>
    </row>
    <row r="66" spans="1:1" ht="34.5" customHeight="1" x14ac:dyDescent="0.3">
      <c r="A66" s="17" t="s">
        <v>59</v>
      </c>
    </row>
    <row r="67" spans="1:1" ht="34.5" customHeight="1" x14ac:dyDescent="0.3">
      <c r="A67" s="17" t="s">
        <v>60</v>
      </c>
    </row>
    <row r="68" spans="1:1" ht="34.5" customHeight="1" x14ac:dyDescent="0.3">
      <c r="A68" s="17" t="s">
        <v>61</v>
      </c>
    </row>
    <row r="69" spans="1:1" ht="17.25" customHeight="1" x14ac:dyDescent="0.3">
      <c r="A69" s="19" t="s">
        <v>62</v>
      </c>
    </row>
    <row r="70" spans="1:1" ht="51.75" customHeight="1" x14ac:dyDescent="0.3">
      <c r="A70" s="17" t="s">
        <v>63</v>
      </c>
    </row>
    <row r="71" spans="1:1" ht="17.25" customHeight="1" x14ac:dyDescent="0.3">
      <c r="A71" s="17" t="s">
        <v>64</v>
      </c>
    </row>
    <row r="72" spans="1:1" ht="17.25" customHeight="1" x14ac:dyDescent="0.3">
      <c r="A72" s="19" t="s">
        <v>65</v>
      </c>
    </row>
    <row r="73" spans="1:1" ht="17.25" customHeight="1" x14ac:dyDescent="0.3">
      <c r="A73" s="17" t="s">
        <v>66</v>
      </c>
    </row>
    <row r="74" spans="1:1" ht="17.25" customHeight="1" x14ac:dyDescent="0.3">
      <c r="A74" s="19" t="s">
        <v>67</v>
      </c>
    </row>
    <row r="75" spans="1:1" ht="34.5" customHeight="1" x14ac:dyDescent="0.3">
      <c r="A75" s="17" t="s">
        <v>68</v>
      </c>
    </row>
    <row r="76" spans="1:1" ht="17.25" customHeight="1" x14ac:dyDescent="0.3">
      <c r="A76" s="17" t="s">
        <v>69</v>
      </c>
    </row>
    <row r="77" spans="1:1" ht="51.75" customHeight="1" x14ac:dyDescent="0.3">
      <c r="A77" s="17" t="s">
        <v>70</v>
      </c>
    </row>
    <row r="78" spans="1:1" ht="17.25" customHeight="1" x14ac:dyDescent="0.3">
      <c r="A78" s="19" t="s">
        <v>71</v>
      </c>
    </row>
    <row r="79" spans="1:1" ht="17.25" customHeight="1" x14ac:dyDescent="0.35">
      <c r="A79" s="16" t="s">
        <v>72</v>
      </c>
    </row>
    <row r="80" spans="1:1" ht="17.25" customHeight="1" x14ac:dyDescent="0.3">
      <c r="A80" s="19" t="s">
        <v>73</v>
      </c>
    </row>
    <row r="81" spans="1:1" ht="34.5" customHeight="1" x14ac:dyDescent="0.3">
      <c r="A81" s="17" t="s">
        <v>74</v>
      </c>
    </row>
    <row r="82" spans="1:1" ht="34.5" customHeight="1" x14ac:dyDescent="0.3">
      <c r="A82" s="17" t="s">
        <v>75</v>
      </c>
    </row>
    <row r="83" spans="1:1" ht="34.5" customHeight="1" x14ac:dyDescent="0.3">
      <c r="A83" s="17" t="s">
        <v>76</v>
      </c>
    </row>
    <row r="84" spans="1:1" ht="34.5" customHeight="1" x14ac:dyDescent="0.3">
      <c r="A84" s="17" t="s">
        <v>77</v>
      </c>
    </row>
    <row r="85" spans="1:1" ht="34.5" customHeight="1" x14ac:dyDescent="0.3">
      <c r="A85" s="17" t="s">
        <v>78</v>
      </c>
    </row>
    <row r="86" spans="1:1" ht="17.25" customHeight="1" x14ac:dyDescent="0.3">
      <c r="A86" s="19" t="s">
        <v>79</v>
      </c>
    </row>
    <row r="87" spans="1:1" ht="17.25" customHeight="1" x14ac:dyDescent="0.3">
      <c r="A87" s="17" t="s">
        <v>80</v>
      </c>
    </row>
    <row r="88" spans="1:1" ht="34.5" customHeight="1" x14ac:dyDescent="0.3">
      <c r="A88" s="17" t="s">
        <v>81</v>
      </c>
    </row>
    <row r="89" spans="1:1" ht="17.25" customHeight="1" x14ac:dyDescent="0.3">
      <c r="A89" s="19" t="s">
        <v>82</v>
      </c>
    </row>
    <row r="90" spans="1:1" ht="34.5" customHeight="1" x14ac:dyDescent="0.3">
      <c r="A90" s="17" t="s">
        <v>83</v>
      </c>
    </row>
    <row r="91" spans="1:1" ht="17.25" customHeight="1" x14ac:dyDescent="0.3">
      <c r="A91" s="19" t="s">
        <v>84</v>
      </c>
    </row>
    <row r="92" spans="1:1" ht="17.25" customHeight="1" x14ac:dyDescent="0.35">
      <c r="A92" s="16" t="s">
        <v>85</v>
      </c>
    </row>
    <row r="93" spans="1:1" ht="17.25" customHeight="1" x14ac:dyDescent="0.3">
      <c r="A93" s="17" t="s">
        <v>86</v>
      </c>
    </row>
    <row r="94" spans="1:1" ht="17.25" customHeight="1" x14ac:dyDescent="0.3">
      <c r="A94" s="17"/>
    </row>
    <row r="95" spans="1:1" ht="18.75" customHeight="1" x14ac:dyDescent="0.3">
      <c r="A95" s="15" t="s">
        <v>87</v>
      </c>
    </row>
    <row r="96" spans="1:1" ht="34.5" customHeight="1" x14ac:dyDescent="0.35">
      <c r="A96" s="16" t="s">
        <v>88</v>
      </c>
    </row>
    <row r="97" spans="1:1" ht="17.25" customHeight="1" x14ac:dyDescent="0.35">
      <c r="A97" s="16" t="s">
        <v>89</v>
      </c>
    </row>
    <row r="98" spans="1:1" ht="17.25" customHeight="1" x14ac:dyDescent="0.3">
      <c r="A98" s="19" t="s">
        <v>90</v>
      </c>
    </row>
    <row r="99" spans="1:1" ht="17.25" customHeight="1" x14ac:dyDescent="0.3">
      <c r="A99" s="14" t="s">
        <v>91</v>
      </c>
    </row>
    <row r="100" spans="1:1" ht="17.25" customHeight="1" x14ac:dyDescent="0.3">
      <c r="A100" s="17" t="s">
        <v>92</v>
      </c>
    </row>
    <row r="101" spans="1:1" ht="17.25" customHeight="1" x14ac:dyDescent="0.3">
      <c r="A101" s="17" t="s">
        <v>93</v>
      </c>
    </row>
    <row r="102" spans="1:1" ht="17.25" customHeight="1" x14ac:dyDescent="0.3">
      <c r="A102" s="17" t="s">
        <v>94</v>
      </c>
    </row>
    <row r="103" spans="1:1" ht="17.25" customHeight="1" x14ac:dyDescent="0.3">
      <c r="A103" s="17" t="s">
        <v>95</v>
      </c>
    </row>
    <row r="104" spans="1:1" ht="34.5" customHeight="1" x14ac:dyDescent="0.3">
      <c r="A104" s="17" t="s">
        <v>96</v>
      </c>
    </row>
    <row r="105" spans="1:1" ht="17.25" customHeight="1" x14ac:dyDescent="0.3">
      <c r="A105" s="14" t="s">
        <v>97</v>
      </c>
    </row>
    <row r="106" spans="1:1" ht="17.25" customHeight="1" x14ac:dyDescent="0.3">
      <c r="A106" s="17" t="s">
        <v>98</v>
      </c>
    </row>
    <row r="107" spans="1:1" ht="17.25" customHeight="1" x14ac:dyDescent="0.3">
      <c r="A107" s="17" t="s">
        <v>99</v>
      </c>
    </row>
    <row r="108" spans="1:1" ht="17.25" customHeight="1" x14ac:dyDescent="0.3">
      <c r="A108" s="17" t="s">
        <v>100</v>
      </c>
    </row>
    <row r="109" spans="1:1" ht="17.25" customHeight="1" x14ac:dyDescent="0.3">
      <c r="A109" s="17" t="s">
        <v>101</v>
      </c>
    </row>
    <row r="110" spans="1:1" ht="17.25" customHeight="1" x14ac:dyDescent="0.3">
      <c r="A110" s="17" t="s">
        <v>102</v>
      </c>
    </row>
    <row r="111" spans="1:1" ht="17.25" customHeight="1" x14ac:dyDescent="0.3">
      <c r="A111" s="17" t="s">
        <v>103</v>
      </c>
    </row>
    <row r="112" spans="1:1" ht="17.25" customHeight="1" x14ac:dyDescent="0.3">
      <c r="A112" s="19" t="s">
        <v>104</v>
      </c>
    </row>
    <row r="113" spans="1:1" ht="17.25" customHeight="1" x14ac:dyDescent="0.3">
      <c r="A113" s="17" t="s">
        <v>105</v>
      </c>
    </row>
    <row r="114" spans="1:1" ht="17.25" customHeight="1" x14ac:dyDescent="0.3">
      <c r="A114" s="14" t="s">
        <v>106</v>
      </c>
    </row>
    <row r="115" spans="1:1" ht="17.25" customHeight="1" x14ac:dyDescent="0.3">
      <c r="A115" s="17" t="s">
        <v>107</v>
      </c>
    </row>
    <row r="116" spans="1:1" ht="17.25" customHeight="1" x14ac:dyDescent="0.3">
      <c r="A116" s="17" t="s">
        <v>108</v>
      </c>
    </row>
    <row r="117" spans="1:1" ht="17.25" customHeight="1" x14ac:dyDescent="0.3">
      <c r="A117" s="14" t="s">
        <v>109</v>
      </c>
    </row>
    <row r="118" spans="1:1" ht="17.25" customHeight="1" x14ac:dyDescent="0.3">
      <c r="A118" s="17" t="s">
        <v>110</v>
      </c>
    </row>
    <row r="119" spans="1:1" ht="17.25" customHeight="1" x14ac:dyDescent="0.3">
      <c r="A119" s="17" t="s">
        <v>111</v>
      </c>
    </row>
    <row r="120" spans="1:1" ht="17.25" customHeight="1" x14ac:dyDescent="0.3">
      <c r="A120" s="17" t="s">
        <v>112</v>
      </c>
    </row>
    <row r="121" spans="1:1" ht="17.25" customHeight="1" x14ac:dyDescent="0.3">
      <c r="A121" s="19" t="s">
        <v>113</v>
      </c>
    </row>
    <row r="122" spans="1:1" ht="17.25" customHeight="1" x14ac:dyDescent="0.3">
      <c r="A122" s="14" t="s">
        <v>114</v>
      </c>
    </row>
    <row r="123" spans="1:1" ht="17.25" customHeight="1" x14ac:dyDescent="0.3">
      <c r="A123" s="14" t="s">
        <v>115</v>
      </c>
    </row>
    <row r="124" spans="1:1" ht="17.25" customHeight="1" x14ac:dyDescent="0.3">
      <c r="A124" s="17" t="s">
        <v>116</v>
      </c>
    </row>
    <row r="125" spans="1:1" ht="17.25" customHeight="1" x14ac:dyDescent="0.3">
      <c r="A125" s="17" t="s">
        <v>117</v>
      </c>
    </row>
    <row r="126" spans="1:1" ht="17.25" customHeight="1" x14ac:dyDescent="0.3">
      <c r="A126" s="17" t="s">
        <v>118</v>
      </c>
    </row>
    <row r="127" spans="1:1" ht="17.25" customHeight="1" x14ac:dyDescent="0.3">
      <c r="A127" s="17" t="s">
        <v>119</v>
      </c>
    </row>
    <row r="128" spans="1:1" ht="17.25" customHeight="1" x14ac:dyDescent="0.3">
      <c r="A128" s="17" t="s">
        <v>120</v>
      </c>
    </row>
    <row r="129" spans="1:1" ht="17.25" customHeight="1" x14ac:dyDescent="0.3">
      <c r="A129" s="19" t="s">
        <v>121</v>
      </c>
    </row>
    <row r="130" spans="1:1" ht="34.5" customHeight="1" x14ac:dyDescent="0.3">
      <c r="A130" s="17" t="s">
        <v>122</v>
      </c>
    </row>
    <row r="131" spans="1:1" ht="69" customHeight="1" x14ac:dyDescent="0.3">
      <c r="A131" s="17" t="s">
        <v>123</v>
      </c>
    </row>
    <row r="132" spans="1:1" ht="34.5" customHeight="1" x14ac:dyDescent="0.3">
      <c r="A132" s="17" t="s">
        <v>124</v>
      </c>
    </row>
    <row r="133" spans="1:1" ht="17.25" customHeight="1" x14ac:dyDescent="0.3">
      <c r="A133" s="19" t="s">
        <v>125</v>
      </c>
    </row>
    <row r="134" spans="1:1" ht="34.5" customHeight="1" x14ac:dyDescent="0.3">
      <c r="A134" s="14" t="s">
        <v>126</v>
      </c>
    </row>
    <row r="135" spans="1:1" ht="17.25" customHeight="1" x14ac:dyDescent="0.3">
      <c r="A135" s="14"/>
    </row>
    <row r="136" spans="1:1" ht="18.75" customHeight="1" x14ac:dyDescent="0.3">
      <c r="A136" s="15" t="s">
        <v>127</v>
      </c>
    </row>
    <row r="137" spans="1:1" ht="17.25" customHeight="1" x14ac:dyDescent="0.3">
      <c r="A137" s="17" t="s">
        <v>128</v>
      </c>
    </row>
    <row r="138" spans="1:1" ht="34.5" customHeight="1" x14ac:dyDescent="0.3">
      <c r="A138" s="243" t="s">
        <v>129</v>
      </c>
    </row>
    <row r="139" spans="1:1" ht="34.5" customHeight="1" x14ac:dyDescent="0.3">
      <c r="A139" s="243" t="s">
        <v>130</v>
      </c>
    </row>
    <row r="140" spans="1:1" ht="17.25" customHeight="1" x14ac:dyDescent="0.3">
      <c r="A140" s="242" t="s">
        <v>131</v>
      </c>
    </row>
    <row r="141" spans="1:1" ht="17.25" customHeight="1" x14ac:dyDescent="0.3">
      <c r="A141" s="245" t="s">
        <v>132</v>
      </c>
    </row>
    <row r="142" spans="1:1" ht="34.5" customHeight="1" x14ac:dyDescent="0.35">
      <c r="A142" s="244" t="s">
        <v>133</v>
      </c>
    </row>
    <row r="143" spans="1:1" ht="17.25" customHeight="1" x14ac:dyDescent="0.3">
      <c r="A143" s="243" t="s">
        <v>134</v>
      </c>
    </row>
    <row r="144" spans="1:1" ht="17.25" customHeight="1" x14ac:dyDescent="0.3">
      <c r="A144" s="243" t="s">
        <v>135</v>
      </c>
    </row>
    <row r="145" spans="1:1" ht="17.25" customHeight="1" x14ac:dyDescent="0.3">
      <c r="A145" s="245" t="s">
        <v>136</v>
      </c>
    </row>
    <row r="146" spans="1:1" ht="17.25" customHeight="1" x14ac:dyDescent="0.3">
      <c r="A146" s="242" t="s">
        <v>137</v>
      </c>
    </row>
    <row r="147" spans="1:1" ht="17.25" customHeight="1" x14ac:dyDescent="0.3">
      <c r="A147" s="245" t="s">
        <v>138</v>
      </c>
    </row>
    <row r="148" spans="1:1" ht="17.25" customHeight="1" x14ac:dyDescent="0.3">
      <c r="A148" s="243" t="s">
        <v>139</v>
      </c>
    </row>
    <row r="149" spans="1:1" ht="17.25" customHeight="1" x14ac:dyDescent="0.3">
      <c r="A149" s="243" t="s">
        <v>140</v>
      </c>
    </row>
    <row r="150" spans="1:1" ht="17.25" customHeight="1" x14ac:dyDescent="0.3">
      <c r="A150" s="243" t="s">
        <v>141</v>
      </c>
    </row>
    <row r="151" spans="1:1" ht="34.5" customHeight="1" x14ac:dyDescent="0.3">
      <c r="A151" s="245" t="s">
        <v>142</v>
      </c>
    </row>
    <row r="152" spans="1:1" ht="17.25" customHeight="1" x14ac:dyDescent="0.3">
      <c r="A152" s="242" t="s">
        <v>143</v>
      </c>
    </row>
    <row r="153" spans="1:1" ht="17.25" customHeight="1" x14ac:dyDescent="0.3">
      <c r="A153" s="243" t="s">
        <v>144</v>
      </c>
    </row>
    <row r="154" spans="1:1" ht="17.25" customHeight="1" x14ac:dyDescent="0.3">
      <c r="A154" s="243" t="s">
        <v>145</v>
      </c>
    </row>
    <row r="155" spans="1:1" ht="17.25" customHeight="1" x14ac:dyDescent="0.3">
      <c r="A155" s="243" t="s">
        <v>146</v>
      </c>
    </row>
    <row r="156" spans="1:1" ht="17.25" customHeight="1" x14ac:dyDescent="0.3">
      <c r="A156" s="243" t="s">
        <v>147</v>
      </c>
    </row>
    <row r="157" spans="1:1" ht="34.5" customHeight="1" x14ac:dyDescent="0.3">
      <c r="A157" s="243" t="s">
        <v>148</v>
      </c>
    </row>
    <row r="158" spans="1:1" ht="34.5" customHeight="1" x14ac:dyDescent="0.3">
      <c r="A158" s="243" t="s">
        <v>149</v>
      </c>
    </row>
    <row r="159" spans="1:1" ht="17.25" customHeight="1" x14ac:dyDescent="0.3">
      <c r="A159" s="242" t="s">
        <v>150</v>
      </c>
    </row>
    <row r="160" spans="1:1" ht="34.5" customHeight="1" x14ac:dyDescent="0.3">
      <c r="A160" s="243" t="s">
        <v>151</v>
      </c>
    </row>
    <row r="161" spans="1:1" ht="34.5" customHeight="1" x14ac:dyDescent="0.3">
      <c r="A161" s="243" t="s">
        <v>152</v>
      </c>
    </row>
    <row r="162" spans="1:1" ht="17.25" customHeight="1" x14ac:dyDescent="0.3">
      <c r="A162" s="243" t="s">
        <v>153</v>
      </c>
    </row>
    <row r="163" spans="1:1" ht="17.25" customHeight="1" x14ac:dyDescent="0.3">
      <c r="A163" s="242" t="s">
        <v>154</v>
      </c>
    </row>
    <row r="164" spans="1:1" ht="34.5" customHeight="1" x14ac:dyDescent="0.35">
      <c r="A164" s="244" t="s">
        <v>155</v>
      </c>
    </row>
    <row r="165" spans="1:1" ht="34.5" customHeight="1" x14ac:dyDescent="0.3">
      <c r="A165" s="243" t="s">
        <v>156</v>
      </c>
    </row>
    <row r="166" spans="1:1" ht="17.25" customHeight="1" x14ac:dyDescent="0.3">
      <c r="A166" s="242" t="s">
        <v>157</v>
      </c>
    </row>
    <row r="167" spans="1:1" ht="17.25" customHeight="1" x14ac:dyDescent="0.3">
      <c r="A167" s="243" t="s">
        <v>158</v>
      </c>
    </row>
    <row r="168" spans="1:1" ht="17.25" customHeight="1" x14ac:dyDescent="0.3">
      <c r="A168" s="242" t="s">
        <v>159</v>
      </c>
    </row>
    <row r="169" spans="1:1" ht="17.25" customHeight="1" x14ac:dyDescent="0.35">
      <c r="A169" s="244" t="s">
        <v>160</v>
      </c>
    </row>
    <row r="170" spans="1:1" ht="17.25" customHeight="1" x14ac:dyDescent="0.35">
      <c r="A170" s="244"/>
    </row>
    <row r="171" spans="1:1" ht="17.25" customHeight="1" x14ac:dyDescent="0.35">
      <c r="A171" s="244"/>
    </row>
    <row r="172" spans="1:1" ht="17.25" customHeight="1" x14ac:dyDescent="0.35">
      <c r="A172" s="244"/>
    </row>
    <row r="173" spans="1:1" ht="17.25" customHeight="1" x14ac:dyDescent="0.35">
      <c r="A173" s="244"/>
    </row>
    <row r="174" spans="1:1" ht="17.25" customHeight="1" x14ac:dyDescent="0.35">
      <c r="A174" s="244"/>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DDD8D-C020-4122-9859-BFC17264A38A}">
  <sheetPr>
    <tabColor rgb="FFFF0000"/>
  </sheetPr>
  <dimension ref="A1:B48"/>
  <sheetViews>
    <sheetView workbookViewId="0">
      <selection activeCell="J30" sqref="J30"/>
    </sheetView>
  </sheetViews>
  <sheetFormatPr baseColWidth="10" defaultColWidth="11.44140625" defaultRowHeight="14.4" x14ac:dyDescent="0.3"/>
  <cols>
    <col min="1" max="1" width="16.109375" customWidth="1"/>
  </cols>
  <sheetData>
    <row r="1" spans="1:2" x14ac:dyDescent="0.3">
      <c r="A1" t="s">
        <v>2139</v>
      </c>
      <c r="B1" t="s">
        <v>2140</v>
      </c>
    </row>
    <row r="2" spans="1:2" x14ac:dyDescent="0.3">
      <c r="A2" t="s">
        <v>2141</v>
      </c>
    </row>
    <row r="3" spans="1:2" x14ac:dyDescent="0.3">
      <c r="A3" t="s">
        <v>2142</v>
      </c>
      <c r="B3" t="s">
        <v>2143</v>
      </c>
    </row>
    <row r="4" spans="1:2" x14ac:dyDescent="0.3">
      <c r="A4" t="s">
        <v>2144</v>
      </c>
      <c r="B4" t="s">
        <v>2145</v>
      </c>
    </row>
    <row r="5" spans="1:2" x14ac:dyDescent="0.3">
      <c r="A5" t="s">
        <v>2146</v>
      </c>
      <c r="B5" t="s">
        <v>2147</v>
      </c>
    </row>
    <row r="6" spans="1:2" x14ac:dyDescent="0.3">
      <c r="A6" t="s">
        <v>2148</v>
      </c>
    </row>
    <row r="7" spans="1:2" x14ac:dyDescent="0.3">
      <c r="A7" t="s">
        <v>2149</v>
      </c>
    </row>
    <row r="8" spans="1:2" x14ac:dyDescent="0.3">
      <c r="A8" t="s">
        <v>2150</v>
      </c>
      <c r="B8" t="s">
        <v>2151</v>
      </c>
    </row>
    <row r="9" spans="1:2" x14ac:dyDescent="0.3">
      <c r="A9" t="s">
        <v>2152</v>
      </c>
      <c r="B9" t="s">
        <v>2153</v>
      </c>
    </row>
    <row r="10" spans="1:2" x14ac:dyDescent="0.3">
      <c r="A10" t="s">
        <v>2154</v>
      </c>
    </row>
    <row r="11" spans="1:2" x14ac:dyDescent="0.3">
      <c r="A11" t="s">
        <v>2155</v>
      </c>
      <c r="B11" t="s">
        <v>2143</v>
      </c>
    </row>
    <row r="12" spans="1:2" x14ac:dyDescent="0.3">
      <c r="A12" t="s">
        <v>2156</v>
      </c>
      <c r="B12" t="s">
        <v>2157</v>
      </c>
    </row>
    <row r="13" spans="1:2" x14ac:dyDescent="0.3">
      <c r="A13" t="s">
        <v>2158</v>
      </c>
      <c r="B13" t="s">
        <v>2159</v>
      </c>
    </row>
    <row r="14" spans="1:2" x14ac:dyDescent="0.3">
      <c r="A14" t="s">
        <v>2160</v>
      </c>
    </row>
    <row r="15" spans="1:2" x14ac:dyDescent="0.3">
      <c r="A15" t="s">
        <v>2161</v>
      </c>
      <c r="B15" t="s">
        <v>2162</v>
      </c>
    </row>
    <row r="16" spans="1:2" x14ac:dyDescent="0.3">
      <c r="A16" t="s">
        <v>2163</v>
      </c>
      <c r="B16" t="s">
        <v>2164</v>
      </c>
    </row>
    <row r="17" spans="1:2" x14ac:dyDescent="0.3">
      <c r="A17" t="s">
        <v>2165</v>
      </c>
    </row>
    <row r="18" spans="1:2" x14ac:dyDescent="0.3">
      <c r="A18" t="s">
        <v>2166</v>
      </c>
      <c r="B18">
        <v>0</v>
      </c>
    </row>
    <row r="19" spans="1:2" x14ac:dyDescent="0.3">
      <c r="A19" t="s">
        <v>2167</v>
      </c>
      <c r="B19" t="s">
        <v>2168</v>
      </c>
    </row>
    <row r="20" spans="1:2" x14ac:dyDescent="0.3">
      <c r="A20" t="s">
        <v>2169</v>
      </c>
    </row>
    <row r="21" spans="1:2" x14ac:dyDescent="0.3">
      <c r="A21" t="s">
        <v>2170</v>
      </c>
      <c r="B21" s="183" t="s">
        <v>2171</v>
      </c>
    </row>
    <row r="22" spans="1:2" x14ac:dyDescent="0.3">
      <c r="A22" t="s">
        <v>2172</v>
      </c>
      <c r="B22" t="s">
        <v>2173</v>
      </c>
    </row>
    <row r="23" spans="1:2" x14ac:dyDescent="0.3">
      <c r="A23" t="s">
        <v>2174</v>
      </c>
      <c r="B23">
        <v>1</v>
      </c>
    </row>
    <row r="24" spans="1:2" x14ac:dyDescent="0.3">
      <c r="A24" t="s">
        <v>2175</v>
      </c>
      <c r="B24" t="s">
        <v>2176</v>
      </c>
    </row>
    <row r="25" spans="1:2" x14ac:dyDescent="0.3">
      <c r="A25" t="s">
        <v>2177</v>
      </c>
      <c r="B25" t="s">
        <v>2178</v>
      </c>
    </row>
    <row r="26" spans="1:2" x14ac:dyDescent="0.3">
      <c r="A26" t="s">
        <v>2179</v>
      </c>
      <c r="B26" t="s">
        <v>2180</v>
      </c>
    </row>
    <row r="27" spans="1:2" x14ac:dyDescent="0.3">
      <c r="A27" t="s">
        <v>2181</v>
      </c>
    </row>
    <row r="28" spans="1:2" x14ac:dyDescent="0.3">
      <c r="A28" t="s">
        <v>2182</v>
      </c>
    </row>
    <row r="29" spans="1:2" x14ac:dyDescent="0.3">
      <c r="A29" t="s">
        <v>2183</v>
      </c>
      <c r="B29" t="s">
        <v>2184</v>
      </c>
    </row>
    <row r="30" spans="1:2" x14ac:dyDescent="0.3">
      <c r="A30" t="s">
        <v>2185</v>
      </c>
      <c r="B30" t="s">
        <v>2168</v>
      </c>
    </row>
    <row r="31" spans="1:2" x14ac:dyDescent="0.3">
      <c r="A31" t="s">
        <v>2186</v>
      </c>
      <c r="B31" t="s">
        <v>2187</v>
      </c>
    </row>
    <row r="32" spans="1:2" x14ac:dyDescent="0.3">
      <c r="A32" t="s">
        <v>2188</v>
      </c>
      <c r="B32" t="s">
        <v>2145</v>
      </c>
    </row>
    <row r="33" spans="1:2" x14ac:dyDescent="0.3">
      <c r="A33" t="s">
        <v>2189</v>
      </c>
      <c r="B33" t="s">
        <v>2190</v>
      </c>
    </row>
    <row r="34" spans="1:2" x14ac:dyDescent="0.3">
      <c r="A34" t="s">
        <v>2191</v>
      </c>
      <c r="B34" t="s">
        <v>2192</v>
      </c>
    </row>
    <row r="35" spans="1:2" x14ac:dyDescent="0.3">
      <c r="A35" t="s">
        <v>2193</v>
      </c>
    </row>
    <row r="36" spans="1:2" x14ac:dyDescent="0.3">
      <c r="A36" t="s">
        <v>2194</v>
      </c>
    </row>
    <row r="37" spans="1:2" x14ac:dyDescent="0.3">
      <c r="A37" t="s">
        <v>2195</v>
      </c>
    </row>
    <row r="38" spans="1:2" x14ac:dyDescent="0.3">
      <c r="A38" t="s">
        <v>2196</v>
      </c>
      <c r="B38" t="s">
        <v>2197</v>
      </c>
    </row>
    <row r="39" spans="1:2" x14ac:dyDescent="0.3">
      <c r="A39" t="s">
        <v>2198</v>
      </c>
      <c r="B39" t="s">
        <v>2159</v>
      </c>
    </row>
    <row r="40" spans="1:2" x14ac:dyDescent="0.3">
      <c r="A40" t="s">
        <v>2199</v>
      </c>
      <c r="B40" t="s">
        <v>2200</v>
      </c>
    </row>
    <row r="41" spans="1:2" x14ac:dyDescent="0.3">
      <c r="A41" t="s">
        <v>2201</v>
      </c>
      <c r="B41" t="s">
        <v>2202</v>
      </c>
    </row>
    <row r="42" spans="1:2" x14ac:dyDescent="0.3">
      <c r="A42" t="s">
        <v>2203</v>
      </c>
      <c r="B42" t="s">
        <v>2143</v>
      </c>
    </row>
    <row r="43" spans="1:2" x14ac:dyDescent="0.3">
      <c r="A43" t="s">
        <v>2204</v>
      </c>
    </row>
    <row r="44" spans="1:2" x14ac:dyDescent="0.3">
      <c r="A44" t="s">
        <v>2205</v>
      </c>
      <c r="B44" t="s">
        <v>2206</v>
      </c>
    </row>
    <row r="45" spans="1:2" x14ac:dyDescent="0.3">
      <c r="A45" t="s">
        <v>2207</v>
      </c>
    </row>
    <row r="46" spans="1:2" x14ac:dyDescent="0.3">
      <c r="A46" t="s">
        <v>2208</v>
      </c>
      <c r="B46" t="s">
        <v>2209</v>
      </c>
    </row>
    <row r="47" spans="1:2" x14ac:dyDescent="0.3">
      <c r="A47" t="s">
        <v>2210</v>
      </c>
      <c r="B47" t="s">
        <v>2168</v>
      </c>
    </row>
    <row r="48" spans="1:2" x14ac:dyDescent="0.3">
      <c r="A48" t="s">
        <v>2211</v>
      </c>
      <c r="B48" t="s">
        <v>2212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FB1D3-019D-4E6E-A929-BF021AC29DE4}">
  <sheetPr>
    <tabColor rgb="FFFF0000"/>
  </sheetPr>
  <dimension ref="A1:K1823"/>
  <sheetViews>
    <sheetView workbookViewId="0">
      <pane ySplit="1" topLeftCell="A2" activePane="bottomLeft" state="frozenSplit"/>
      <selection activeCell="A2" sqref="A2"/>
      <selection pane="bottomLeft" activeCell="A2" sqref="A2"/>
    </sheetView>
  </sheetViews>
  <sheetFormatPr baseColWidth="10" defaultColWidth="11.44140625" defaultRowHeight="14.4" x14ac:dyDescent="0.3"/>
  <cols>
    <col min="1" max="1" width="14.33203125" bestFit="1" customWidth="1"/>
    <col min="2" max="2" width="42.6640625" bestFit="1" customWidth="1"/>
    <col min="3" max="3" width="48.88671875" bestFit="1" customWidth="1"/>
    <col min="4" max="4" width="11.44140625" customWidth="1"/>
    <col min="5" max="5" width="18.6640625" bestFit="1" customWidth="1"/>
  </cols>
  <sheetData>
    <row r="1" spans="1:11" ht="30" customHeight="1" x14ac:dyDescent="0.3">
      <c r="A1" s="381" t="s">
        <v>2213</v>
      </c>
      <c r="B1" s="381" t="s">
        <v>2214</v>
      </c>
      <c r="C1" s="381" t="s">
        <v>2215</v>
      </c>
      <c r="D1" s="381" t="s">
        <v>1093</v>
      </c>
      <c r="E1" s="381" t="s">
        <v>2216</v>
      </c>
      <c r="F1" s="381" t="s">
        <v>2217</v>
      </c>
      <c r="G1" s="381" t="s">
        <v>2218</v>
      </c>
      <c r="H1" s="381" t="s">
        <v>2219</v>
      </c>
      <c r="I1" s="381" t="s">
        <v>2220</v>
      </c>
      <c r="J1" s="382" t="s">
        <v>2221</v>
      </c>
      <c r="K1" s="382" t="s">
        <v>2222</v>
      </c>
    </row>
    <row r="2" spans="1:11" x14ac:dyDescent="0.3">
      <c r="A2" t="s">
        <v>2223</v>
      </c>
      <c r="B2" t="s">
        <v>1785</v>
      </c>
      <c r="C2" t="s">
        <v>2224</v>
      </c>
      <c r="D2" s="383">
        <v>10</v>
      </c>
      <c r="E2" s="384">
        <v>5820362.29</v>
      </c>
      <c r="F2" s="384">
        <v>566772.62</v>
      </c>
      <c r="G2" s="384">
        <v>637360.49</v>
      </c>
      <c r="H2" s="384">
        <v>582704.92000000004</v>
      </c>
      <c r="I2" s="384">
        <v>582036.22</v>
      </c>
      <c r="J2" s="383">
        <v>10</v>
      </c>
      <c r="K2" s="383">
        <v>10</v>
      </c>
    </row>
    <row r="3" spans="1:11" x14ac:dyDescent="0.3">
      <c r="A3" t="s">
        <v>2225</v>
      </c>
      <c r="B3" t="s">
        <v>1785</v>
      </c>
      <c r="C3" t="s">
        <v>2224</v>
      </c>
      <c r="D3" s="383">
        <v>10</v>
      </c>
      <c r="E3" s="384">
        <v>5579950.4900000002</v>
      </c>
      <c r="F3" s="384">
        <v>543751.67000000004</v>
      </c>
      <c r="G3" s="384">
        <v>586319.6</v>
      </c>
      <c r="H3" s="384">
        <v>558269.55000000005</v>
      </c>
      <c r="I3" s="384">
        <v>557995.04</v>
      </c>
      <c r="J3" s="383">
        <v>10</v>
      </c>
      <c r="K3" s="383">
        <v>10</v>
      </c>
    </row>
    <row r="4" spans="1:11" x14ac:dyDescent="0.3">
      <c r="A4" t="s">
        <v>2225</v>
      </c>
      <c r="B4" t="s">
        <v>2226</v>
      </c>
      <c r="C4" t="s">
        <v>2224</v>
      </c>
      <c r="D4" s="383">
        <v>5</v>
      </c>
      <c r="E4" s="384">
        <v>2834758.18</v>
      </c>
      <c r="F4" s="384">
        <v>556949.36</v>
      </c>
      <c r="G4" s="384">
        <v>586319.6</v>
      </c>
      <c r="H4" s="384">
        <v>567191.27</v>
      </c>
      <c r="I4" s="384">
        <v>566951.63</v>
      </c>
      <c r="J4" s="383">
        <v>5</v>
      </c>
      <c r="K4" s="383">
        <v>5</v>
      </c>
    </row>
    <row r="5" spans="1:11" x14ac:dyDescent="0.3">
      <c r="A5" t="s">
        <v>2223</v>
      </c>
      <c r="B5" t="s">
        <v>2226</v>
      </c>
      <c r="C5" t="s">
        <v>2224</v>
      </c>
      <c r="D5" s="383">
        <v>5</v>
      </c>
      <c r="E5" s="384">
        <v>2968373.87</v>
      </c>
      <c r="F5" s="384">
        <v>575126.31000000006</v>
      </c>
      <c r="G5" s="384">
        <v>637360.49</v>
      </c>
      <c r="H5" s="384">
        <v>594512.87</v>
      </c>
      <c r="I5" s="384">
        <v>593674.77</v>
      </c>
      <c r="J5" s="383">
        <v>5</v>
      </c>
      <c r="K5" s="383">
        <v>5</v>
      </c>
    </row>
    <row r="6" spans="1:11" x14ac:dyDescent="0.3">
      <c r="A6" t="s">
        <v>2225</v>
      </c>
      <c r="B6" t="s">
        <v>2227</v>
      </c>
      <c r="C6" t="s">
        <v>528</v>
      </c>
      <c r="D6" s="383">
        <v>107440</v>
      </c>
      <c r="E6" s="384">
        <v>9454850854.4899998</v>
      </c>
      <c r="F6" s="384">
        <v>0</v>
      </c>
      <c r="G6" s="384">
        <v>0</v>
      </c>
      <c r="H6" s="384">
        <v>0</v>
      </c>
      <c r="I6" s="384">
        <v>0</v>
      </c>
      <c r="J6" s="383">
        <v>85628</v>
      </c>
      <c r="K6" s="383">
        <v>86157</v>
      </c>
    </row>
    <row r="7" spans="1:11" x14ac:dyDescent="0.3">
      <c r="A7" t="s">
        <v>2223</v>
      </c>
      <c r="B7" t="s">
        <v>2227</v>
      </c>
      <c r="C7" t="s">
        <v>528</v>
      </c>
      <c r="D7" s="383">
        <v>881910</v>
      </c>
      <c r="E7" s="384">
        <v>61316702668.739998</v>
      </c>
      <c r="F7" s="384">
        <v>0</v>
      </c>
      <c r="G7" s="384">
        <v>0</v>
      </c>
      <c r="H7" s="384">
        <v>0</v>
      </c>
      <c r="I7" s="384">
        <v>0</v>
      </c>
      <c r="J7" s="383">
        <v>745181</v>
      </c>
      <c r="K7" s="383">
        <v>789908</v>
      </c>
    </row>
    <row r="8" spans="1:11" x14ac:dyDescent="0.3">
      <c r="A8" t="s">
        <v>2225</v>
      </c>
      <c r="B8" t="s">
        <v>2227</v>
      </c>
      <c r="C8" t="s">
        <v>530</v>
      </c>
      <c r="D8" s="383">
        <v>19006</v>
      </c>
      <c r="E8" s="384">
        <v>4915274177.4799995</v>
      </c>
      <c r="F8" s="384">
        <v>0</v>
      </c>
      <c r="G8" s="384">
        <v>0</v>
      </c>
      <c r="H8" s="384">
        <v>0</v>
      </c>
      <c r="I8" s="384">
        <v>0</v>
      </c>
      <c r="J8" s="383">
        <v>18944</v>
      </c>
      <c r="K8" s="383">
        <v>18996</v>
      </c>
    </row>
    <row r="9" spans="1:11" x14ac:dyDescent="0.3">
      <c r="A9" t="s">
        <v>2223</v>
      </c>
      <c r="B9" t="s">
        <v>2227</v>
      </c>
      <c r="C9" t="s">
        <v>530</v>
      </c>
      <c r="D9" s="383">
        <v>85010</v>
      </c>
      <c r="E9" s="384">
        <v>22060682123.439999</v>
      </c>
      <c r="F9" s="384">
        <v>0</v>
      </c>
      <c r="G9" s="384">
        <v>0</v>
      </c>
      <c r="H9" s="384">
        <v>0</v>
      </c>
      <c r="I9" s="384">
        <v>0</v>
      </c>
      <c r="J9" s="383">
        <v>84274</v>
      </c>
      <c r="K9" s="383">
        <v>84974</v>
      </c>
    </row>
    <row r="10" spans="1:11" x14ac:dyDescent="0.3">
      <c r="A10" t="s">
        <v>2223</v>
      </c>
      <c r="B10" t="s">
        <v>2227</v>
      </c>
      <c r="C10" t="s">
        <v>532</v>
      </c>
      <c r="D10" s="383">
        <v>4303</v>
      </c>
      <c r="E10" s="384">
        <v>1898044320.3699999</v>
      </c>
      <c r="F10" s="384">
        <v>0</v>
      </c>
      <c r="G10" s="384">
        <v>0</v>
      </c>
      <c r="H10" s="384">
        <v>0</v>
      </c>
      <c r="I10" s="384">
        <v>0</v>
      </c>
      <c r="J10" s="383">
        <v>4300</v>
      </c>
      <c r="K10" s="383">
        <v>4303</v>
      </c>
    </row>
    <row r="11" spans="1:11" x14ac:dyDescent="0.3">
      <c r="A11" t="s">
        <v>2225</v>
      </c>
      <c r="B11" t="s">
        <v>2227</v>
      </c>
      <c r="C11" t="s">
        <v>532</v>
      </c>
      <c r="D11" s="383">
        <v>893</v>
      </c>
      <c r="E11" s="384">
        <v>394560685.44999999</v>
      </c>
      <c r="F11" s="384">
        <v>0</v>
      </c>
      <c r="G11" s="384">
        <v>0</v>
      </c>
      <c r="H11" s="384">
        <v>0</v>
      </c>
      <c r="I11" s="384">
        <v>0</v>
      </c>
      <c r="J11" s="383">
        <v>893</v>
      </c>
      <c r="K11" s="383">
        <v>893</v>
      </c>
    </row>
    <row r="12" spans="1:11" x14ac:dyDescent="0.3">
      <c r="A12" t="s">
        <v>2223</v>
      </c>
      <c r="B12" t="s">
        <v>2227</v>
      </c>
      <c r="C12" t="s">
        <v>535</v>
      </c>
      <c r="D12" s="383">
        <v>1</v>
      </c>
      <c r="E12" s="384">
        <v>637360.49</v>
      </c>
      <c r="F12" s="384">
        <v>0</v>
      </c>
      <c r="G12" s="384">
        <v>0</v>
      </c>
      <c r="H12" s="384">
        <v>0</v>
      </c>
      <c r="I12" s="384">
        <v>0</v>
      </c>
      <c r="J12" s="383">
        <v>1</v>
      </c>
      <c r="K12" s="383">
        <v>1</v>
      </c>
    </row>
    <row r="13" spans="1:11" x14ac:dyDescent="0.3">
      <c r="A13" t="s">
        <v>2223</v>
      </c>
      <c r="B13" t="s">
        <v>2228</v>
      </c>
      <c r="C13" t="s">
        <v>2229</v>
      </c>
      <c r="D13" s="383">
        <v>128353</v>
      </c>
      <c r="E13" s="384">
        <v>1459858774.9400001</v>
      </c>
      <c r="F13" s="384">
        <v>0</v>
      </c>
      <c r="G13" s="384">
        <v>0</v>
      </c>
      <c r="H13" s="384">
        <v>0</v>
      </c>
      <c r="I13" s="384">
        <v>0</v>
      </c>
      <c r="J13" s="383">
        <v>117667</v>
      </c>
      <c r="K13" s="383">
        <v>120009</v>
      </c>
    </row>
    <row r="14" spans="1:11" x14ac:dyDescent="0.3">
      <c r="A14" t="s">
        <v>2223</v>
      </c>
      <c r="B14" t="s">
        <v>2228</v>
      </c>
      <c r="C14" t="s">
        <v>2230</v>
      </c>
      <c r="D14" s="383">
        <v>17912</v>
      </c>
      <c r="E14" s="384">
        <v>231314165.31999999</v>
      </c>
      <c r="F14" s="384">
        <v>0</v>
      </c>
      <c r="G14" s="384">
        <v>0</v>
      </c>
      <c r="H14" s="384">
        <v>0</v>
      </c>
      <c r="I14" s="384">
        <v>0</v>
      </c>
      <c r="J14" s="383">
        <v>16464</v>
      </c>
      <c r="K14" s="383">
        <v>16588</v>
      </c>
    </row>
    <row r="15" spans="1:11" x14ac:dyDescent="0.3">
      <c r="A15" t="s">
        <v>2223</v>
      </c>
      <c r="B15" t="s">
        <v>2228</v>
      </c>
      <c r="C15" t="s">
        <v>2231</v>
      </c>
      <c r="D15" s="383">
        <v>18198</v>
      </c>
      <c r="E15" s="384">
        <v>226269531.58000001</v>
      </c>
      <c r="F15" s="384">
        <v>0</v>
      </c>
      <c r="G15" s="384">
        <v>0</v>
      </c>
      <c r="H15" s="384">
        <v>0</v>
      </c>
      <c r="I15" s="384">
        <v>0</v>
      </c>
      <c r="J15" s="383">
        <v>16706</v>
      </c>
      <c r="K15" s="383">
        <v>16844</v>
      </c>
    </row>
    <row r="16" spans="1:11" x14ac:dyDescent="0.3">
      <c r="A16" t="s">
        <v>2223</v>
      </c>
      <c r="B16" t="s">
        <v>2228</v>
      </c>
      <c r="C16" t="s">
        <v>2232</v>
      </c>
      <c r="D16" s="383">
        <v>17051</v>
      </c>
      <c r="E16" s="384">
        <v>230477793.50999999</v>
      </c>
      <c r="F16" s="384">
        <v>0</v>
      </c>
      <c r="G16" s="384">
        <v>0</v>
      </c>
      <c r="H16" s="384">
        <v>0</v>
      </c>
      <c r="I16" s="384">
        <v>0</v>
      </c>
      <c r="J16" s="383">
        <v>15827</v>
      </c>
      <c r="K16" s="383">
        <v>15915</v>
      </c>
    </row>
    <row r="17" spans="1:11" x14ac:dyDescent="0.3">
      <c r="A17" t="s">
        <v>2223</v>
      </c>
      <c r="B17" t="s">
        <v>2228</v>
      </c>
      <c r="C17" t="s">
        <v>2233</v>
      </c>
      <c r="D17" s="383">
        <v>13775</v>
      </c>
      <c r="E17" s="384">
        <v>209889120.88</v>
      </c>
      <c r="F17" s="384">
        <v>0</v>
      </c>
      <c r="G17" s="384">
        <v>0</v>
      </c>
      <c r="H17" s="384">
        <v>0</v>
      </c>
      <c r="I17" s="384">
        <v>0</v>
      </c>
      <c r="J17" s="383">
        <v>13122</v>
      </c>
      <c r="K17" s="383">
        <v>13179</v>
      </c>
    </row>
    <row r="18" spans="1:11" x14ac:dyDescent="0.3">
      <c r="A18" t="s">
        <v>2223</v>
      </c>
      <c r="B18" t="s">
        <v>2228</v>
      </c>
      <c r="C18" t="s">
        <v>2234</v>
      </c>
      <c r="D18" s="383">
        <v>5041</v>
      </c>
      <c r="E18" s="384">
        <v>85678137.640000001</v>
      </c>
      <c r="F18" s="384">
        <v>0</v>
      </c>
      <c r="G18" s="384">
        <v>0</v>
      </c>
      <c r="H18" s="384">
        <v>0</v>
      </c>
      <c r="I18" s="384">
        <v>0</v>
      </c>
      <c r="J18" s="383">
        <v>4887</v>
      </c>
      <c r="K18" s="383">
        <v>4898</v>
      </c>
    </row>
    <row r="19" spans="1:11" x14ac:dyDescent="0.3">
      <c r="A19" t="s">
        <v>2223</v>
      </c>
      <c r="B19" t="s">
        <v>2228</v>
      </c>
      <c r="C19" t="s">
        <v>2235</v>
      </c>
      <c r="D19" s="383">
        <v>3771</v>
      </c>
      <c r="E19" s="384">
        <v>66551838.670000002</v>
      </c>
      <c r="F19" s="384">
        <v>0</v>
      </c>
      <c r="G19" s="384">
        <v>0</v>
      </c>
      <c r="H19" s="384">
        <v>0</v>
      </c>
      <c r="I19" s="384">
        <v>0</v>
      </c>
      <c r="J19" s="383">
        <v>3680</v>
      </c>
      <c r="K19" s="383">
        <v>3680</v>
      </c>
    </row>
    <row r="20" spans="1:11" x14ac:dyDescent="0.3">
      <c r="A20" t="s">
        <v>2223</v>
      </c>
      <c r="B20" t="s">
        <v>2228</v>
      </c>
      <c r="C20" t="s">
        <v>2236</v>
      </c>
      <c r="D20" s="383">
        <v>2089</v>
      </c>
      <c r="E20" s="384">
        <v>35658948.460000001</v>
      </c>
      <c r="F20" s="384">
        <v>0</v>
      </c>
      <c r="G20" s="384">
        <v>0</v>
      </c>
      <c r="H20" s="384">
        <v>0</v>
      </c>
      <c r="I20" s="384">
        <v>0</v>
      </c>
      <c r="J20" s="383">
        <v>2056</v>
      </c>
      <c r="K20" s="383">
        <v>2056</v>
      </c>
    </row>
    <row r="21" spans="1:11" x14ac:dyDescent="0.3">
      <c r="A21" t="s">
        <v>2223</v>
      </c>
      <c r="B21" t="s">
        <v>2228</v>
      </c>
      <c r="C21" t="s">
        <v>2237</v>
      </c>
      <c r="D21" s="383">
        <v>1129</v>
      </c>
      <c r="E21" s="384">
        <v>16932936.199999999</v>
      </c>
      <c r="F21" s="384">
        <v>0</v>
      </c>
      <c r="G21" s="384">
        <v>0</v>
      </c>
      <c r="H21" s="384">
        <v>0</v>
      </c>
      <c r="I21" s="384">
        <v>0</v>
      </c>
      <c r="J21" s="383">
        <v>1123</v>
      </c>
      <c r="K21" s="383">
        <v>1124</v>
      </c>
    </row>
    <row r="22" spans="1:11" x14ac:dyDescent="0.3">
      <c r="A22" t="s">
        <v>2223</v>
      </c>
      <c r="B22" t="s">
        <v>2228</v>
      </c>
      <c r="C22" t="s">
        <v>2238</v>
      </c>
      <c r="D22" s="383">
        <v>7286</v>
      </c>
      <c r="E22" s="384">
        <v>810085403</v>
      </c>
      <c r="F22" s="384">
        <v>0</v>
      </c>
      <c r="G22" s="384">
        <v>0</v>
      </c>
      <c r="H22" s="384">
        <v>0</v>
      </c>
      <c r="I22" s="384">
        <v>0</v>
      </c>
      <c r="J22" s="383">
        <v>7273</v>
      </c>
      <c r="K22" s="383">
        <v>7280</v>
      </c>
    </row>
    <row r="23" spans="1:11" x14ac:dyDescent="0.3">
      <c r="A23" t="s">
        <v>2223</v>
      </c>
      <c r="B23" t="s">
        <v>2228</v>
      </c>
      <c r="C23" t="s">
        <v>2239</v>
      </c>
      <c r="D23" s="383">
        <v>7710</v>
      </c>
      <c r="E23" s="384">
        <v>857925910.95000005</v>
      </c>
      <c r="F23" s="384">
        <v>0</v>
      </c>
      <c r="G23" s="384">
        <v>0</v>
      </c>
      <c r="H23" s="384">
        <v>0</v>
      </c>
      <c r="I23" s="384">
        <v>0</v>
      </c>
      <c r="J23" s="383">
        <v>7700</v>
      </c>
      <c r="K23" s="383">
        <v>7703</v>
      </c>
    </row>
    <row r="24" spans="1:11" x14ac:dyDescent="0.3">
      <c r="A24" t="s">
        <v>2223</v>
      </c>
      <c r="B24" t="s">
        <v>2228</v>
      </c>
      <c r="C24" t="s">
        <v>2240</v>
      </c>
      <c r="D24" s="383">
        <v>11868</v>
      </c>
      <c r="E24" s="384">
        <v>1323105270.8699999</v>
      </c>
      <c r="F24" s="384">
        <v>0</v>
      </c>
      <c r="G24" s="384">
        <v>0</v>
      </c>
      <c r="H24" s="384">
        <v>0</v>
      </c>
      <c r="I24" s="384">
        <v>0</v>
      </c>
      <c r="J24" s="383">
        <v>11835</v>
      </c>
      <c r="K24" s="383">
        <v>11856</v>
      </c>
    </row>
    <row r="25" spans="1:11" x14ac:dyDescent="0.3">
      <c r="A25" t="s">
        <v>2223</v>
      </c>
      <c r="B25" t="s">
        <v>2228</v>
      </c>
      <c r="C25" t="s">
        <v>2241</v>
      </c>
      <c r="D25" s="383">
        <v>15852</v>
      </c>
      <c r="E25" s="384">
        <v>1767992482.5999999</v>
      </c>
      <c r="F25" s="384">
        <v>0</v>
      </c>
      <c r="G25" s="384">
        <v>0</v>
      </c>
      <c r="H25" s="384">
        <v>0</v>
      </c>
      <c r="I25" s="384">
        <v>0</v>
      </c>
      <c r="J25" s="383">
        <v>15774</v>
      </c>
      <c r="K25" s="383">
        <v>15832</v>
      </c>
    </row>
    <row r="26" spans="1:11" x14ac:dyDescent="0.3">
      <c r="A26" t="s">
        <v>2223</v>
      </c>
      <c r="B26" t="s">
        <v>2228</v>
      </c>
      <c r="C26" t="s">
        <v>2242</v>
      </c>
      <c r="D26" s="383">
        <v>19628</v>
      </c>
      <c r="E26" s="384">
        <v>2200102872.02</v>
      </c>
      <c r="F26" s="384">
        <v>0</v>
      </c>
      <c r="G26" s="384">
        <v>0</v>
      </c>
      <c r="H26" s="384">
        <v>0</v>
      </c>
      <c r="I26" s="384">
        <v>0</v>
      </c>
      <c r="J26" s="383">
        <v>19534</v>
      </c>
      <c r="K26" s="383">
        <v>19594</v>
      </c>
    </row>
    <row r="27" spans="1:11" x14ac:dyDescent="0.3">
      <c r="A27" t="s">
        <v>2223</v>
      </c>
      <c r="B27" t="s">
        <v>2228</v>
      </c>
      <c r="C27" t="s">
        <v>2243</v>
      </c>
      <c r="D27" s="383">
        <v>9968</v>
      </c>
      <c r="E27" s="384">
        <v>1120176798.3900001</v>
      </c>
      <c r="F27" s="384">
        <v>0</v>
      </c>
      <c r="G27" s="384">
        <v>0</v>
      </c>
      <c r="H27" s="384">
        <v>0</v>
      </c>
      <c r="I27" s="384">
        <v>0</v>
      </c>
      <c r="J27" s="383">
        <v>9926</v>
      </c>
      <c r="K27" s="383">
        <v>9949</v>
      </c>
    </row>
    <row r="28" spans="1:11" x14ac:dyDescent="0.3">
      <c r="A28" t="s">
        <v>2223</v>
      </c>
      <c r="B28" t="s">
        <v>2228</v>
      </c>
      <c r="C28" t="s">
        <v>2244</v>
      </c>
      <c r="D28" s="383">
        <v>8425</v>
      </c>
      <c r="E28" s="384">
        <v>947493433.64999998</v>
      </c>
      <c r="F28" s="384">
        <v>0</v>
      </c>
      <c r="G28" s="384">
        <v>0</v>
      </c>
      <c r="H28" s="384">
        <v>0</v>
      </c>
      <c r="I28" s="384">
        <v>0</v>
      </c>
      <c r="J28" s="383">
        <v>8390</v>
      </c>
      <c r="K28" s="383">
        <v>8405</v>
      </c>
    </row>
    <row r="29" spans="1:11" x14ac:dyDescent="0.3">
      <c r="A29" t="s">
        <v>2223</v>
      </c>
      <c r="B29" t="s">
        <v>2228</v>
      </c>
      <c r="C29" t="s">
        <v>2245</v>
      </c>
      <c r="D29" s="383">
        <v>4864</v>
      </c>
      <c r="E29" s="384">
        <v>547085554.64999998</v>
      </c>
      <c r="F29" s="384">
        <v>0</v>
      </c>
      <c r="G29" s="384">
        <v>0</v>
      </c>
      <c r="H29" s="384">
        <v>0</v>
      </c>
      <c r="I29" s="384">
        <v>0</v>
      </c>
      <c r="J29" s="383">
        <v>4849</v>
      </c>
      <c r="K29" s="383">
        <v>4855</v>
      </c>
    </row>
    <row r="30" spans="1:11" x14ac:dyDescent="0.3">
      <c r="A30" t="s">
        <v>2223</v>
      </c>
      <c r="B30" t="s">
        <v>2228</v>
      </c>
      <c r="C30" t="s">
        <v>2246</v>
      </c>
      <c r="D30" s="383">
        <v>2059</v>
      </c>
      <c r="E30" s="384">
        <v>231818884.75</v>
      </c>
      <c r="F30" s="384">
        <v>0</v>
      </c>
      <c r="G30" s="384">
        <v>0</v>
      </c>
      <c r="H30" s="384">
        <v>0</v>
      </c>
      <c r="I30" s="384">
        <v>0</v>
      </c>
      <c r="J30" s="383">
        <v>2051</v>
      </c>
      <c r="K30" s="383">
        <v>2053</v>
      </c>
    </row>
    <row r="31" spans="1:11" x14ac:dyDescent="0.3">
      <c r="A31" t="s">
        <v>2223</v>
      </c>
      <c r="B31" t="s">
        <v>2228</v>
      </c>
      <c r="C31" t="s">
        <v>2247</v>
      </c>
      <c r="D31" s="383">
        <v>3854</v>
      </c>
      <c r="E31" s="384">
        <v>525539385.70999998</v>
      </c>
      <c r="F31" s="384">
        <v>0</v>
      </c>
      <c r="G31" s="384">
        <v>0</v>
      </c>
      <c r="H31" s="384">
        <v>0</v>
      </c>
      <c r="I31" s="384">
        <v>0</v>
      </c>
      <c r="J31" s="383">
        <v>3850</v>
      </c>
      <c r="K31" s="383">
        <v>3854</v>
      </c>
    </row>
    <row r="32" spans="1:11" x14ac:dyDescent="0.3">
      <c r="A32" t="s">
        <v>2223</v>
      </c>
      <c r="B32" t="s">
        <v>2228</v>
      </c>
      <c r="C32" t="s">
        <v>2248</v>
      </c>
      <c r="D32" s="383">
        <v>4454</v>
      </c>
      <c r="E32" s="384">
        <v>607770563.63</v>
      </c>
      <c r="F32" s="384">
        <v>0</v>
      </c>
      <c r="G32" s="384">
        <v>0</v>
      </c>
      <c r="H32" s="384">
        <v>0</v>
      </c>
      <c r="I32" s="384">
        <v>0</v>
      </c>
      <c r="J32" s="383">
        <v>4444</v>
      </c>
      <c r="K32" s="383">
        <v>4452</v>
      </c>
    </row>
    <row r="33" spans="1:11" x14ac:dyDescent="0.3">
      <c r="A33" t="s">
        <v>2223</v>
      </c>
      <c r="B33" t="s">
        <v>2228</v>
      </c>
      <c r="C33" t="s">
        <v>2249</v>
      </c>
      <c r="D33" s="383">
        <v>7479</v>
      </c>
      <c r="E33" s="384">
        <v>1019713258.4</v>
      </c>
      <c r="F33" s="384">
        <v>0</v>
      </c>
      <c r="G33" s="384">
        <v>0</v>
      </c>
      <c r="H33" s="384">
        <v>0</v>
      </c>
      <c r="I33" s="384">
        <v>0</v>
      </c>
      <c r="J33" s="383">
        <v>7466</v>
      </c>
      <c r="K33" s="383">
        <v>7475</v>
      </c>
    </row>
    <row r="34" spans="1:11" x14ac:dyDescent="0.3">
      <c r="A34" t="s">
        <v>2223</v>
      </c>
      <c r="B34" t="s">
        <v>2228</v>
      </c>
      <c r="C34" t="s">
        <v>2250</v>
      </c>
      <c r="D34" s="383">
        <v>10702</v>
      </c>
      <c r="E34" s="384">
        <v>1462354330.1400001</v>
      </c>
      <c r="F34" s="384">
        <v>0</v>
      </c>
      <c r="G34" s="384">
        <v>0</v>
      </c>
      <c r="H34" s="384">
        <v>0</v>
      </c>
      <c r="I34" s="384">
        <v>0</v>
      </c>
      <c r="J34" s="383">
        <v>10679</v>
      </c>
      <c r="K34" s="383">
        <v>10693</v>
      </c>
    </row>
    <row r="35" spans="1:11" x14ac:dyDescent="0.3">
      <c r="A35" t="s">
        <v>2223</v>
      </c>
      <c r="B35" t="s">
        <v>2228</v>
      </c>
      <c r="C35" t="s">
        <v>2251</v>
      </c>
      <c r="D35" s="383">
        <v>14782</v>
      </c>
      <c r="E35" s="384">
        <v>2023431776.0799999</v>
      </c>
      <c r="F35" s="384">
        <v>0</v>
      </c>
      <c r="G35" s="384">
        <v>0</v>
      </c>
      <c r="H35" s="384">
        <v>0</v>
      </c>
      <c r="I35" s="384">
        <v>0</v>
      </c>
      <c r="J35" s="383">
        <v>14741</v>
      </c>
      <c r="K35" s="383">
        <v>14769</v>
      </c>
    </row>
    <row r="36" spans="1:11" x14ac:dyDescent="0.3">
      <c r="A36" t="s">
        <v>2223</v>
      </c>
      <c r="B36" t="s">
        <v>2228</v>
      </c>
      <c r="C36" t="s">
        <v>2252</v>
      </c>
      <c r="D36" s="383">
        <v>8406</v>
      </c>
      <c r="E36" s="384">
        <v>1152182545.5</v>
      </c>
      <c r="F36" s="384">
        <v>0</v>
      </c>
      <c r="G36" s="384">
        <v>0</v>
      </c>
      <c r="H36" s="384">
        <v>0</v>
      </c>
      <c r="I36" s="384">
        <v>0</v>
      </c>
      <c r="J36" s="383">
        <v>8370</v>
      </c>
      <c r="K36" s="383">
        <v>8388</v>
      </c>
    </row>
    <row r="37" spans="1:11" x14ac:dyDescent="0.3">
      <c r="A37" t="s">
        <v>2223</v>
      </c>
      <c r="B37" t="s">
        <v>2228</v>
      </c>
      <c r="C37" t="s">
        <v>2253</v>
      </c>
      <c r="D37" s="383">
        <v>8217</v>
      </c>
      <c r="E37" s="384">
        <v>1127083191.76</v>
      </c>
      <c r="F37" s="384">
        <v>0</v>
      </c>
      <c r="G37" s="384">
        <v>0</v>
      </c>
      <c r="H37" s="384">
        <v>0</v>
      </c>
      <c r="I37" s="384">
        <v>0</v>
      </c>
      <c r="J37" s="383">
        <v>8183</v>
      </c>
      <c r="K37" s="383">
        <v>8197</v>
      </c>
    </row>
    <row r="38" spans="1:11" x14ac:dyDescent="0.3">
      <c r="A38" t="s">
        <v>2223</v>
      </c>
      <c r="B38" t="s">
        <v>2228</v>
      </c>
      <c r="C38" t="s">
        <v>2254</v>
      </c>
      <c r="D38" s="383">
        <v>4763</v>
      </c>
      <c r="E38" s="384">
        <v>654638506.86000001</v>
      </c>
      <c r="F38" s="384">
        <v>0</v>
      </c>
      <c r="G38" s="384">
        <v>0</v>
      </c>
      <c r="H38" s="384">
        <v>0</v>
      </c>
      <c r="I38" s="384">
        <v>0</v>
      </c>
      <c r="J38" s="383">
        <v>4749</v>
      </c>
      <c r="K38" s="383">
        <v>4756</v>
      </c>
    </row>
    <row r="39" spans="1:11" x14ac:dyDescent="0.3">
      <c r="A39" t="s">
        <v>2223</v>
      </c>
      <c r="B39" t="s">
        <v>2228</v>
      </c>
      <c r="C39" t="s">
        <v>2255</v>
      </c>
      <c r="D39" s="383">
        <v>2160</v>
      </c>
      <c r="E39" s="384">
        <v>297150351.04000002</v>
      </c>
      <c r="F39" s="384">
        <v>0</v>
      </c>
      <c r="G39" s="384">
        <v>0</v>
      </c>
      <c r="H39" s="384">
        <v>0</v>
      </c>
      <c r="I39" s="384">
        <v>0</v>
      </c>
      <c r="J39" s="383">
        <v>2155</v>
      </c>
      <c r="K39" s="383">
        <v>2158</v>
      </c>
    </row>
    <row r="40" spans="1:11" x14ac:dyDescent="0.3">
      <c r="A40" t="s">
        <v>2223</v>
      </c>
      <c r="B40" t="s">
        <v>2228</v>
      </c>
      <c r="C40" t="s">
        <v>2256</v>
      </c>
      <c r="D40" s="383">
        <v>2208</v>
      </c>
      <c r="E40" s="384">
        <v>356179583.24000001</v>
      </c>
      <c r="F40" s="384">
        <v>0</v>
      </c>
      <c r="G40" s="384">
        <v>0</v>
      </c>
      <c r="H40" s="384">
        <v>0</v>
      </c>
      <c r="I40" s="384">
        <v>0</v>
      </c>
      <c r="J40" s="383">
        <v>2208</v>
      </c>
      <c r="K40" s="383">
        <v>2208</v>
      </c>
    </row>
    <row r="41" spans="1:11" x14ac:dyDescent="0.3">
      <c r="A41" t="s">
        <v>2223</v>
      </c>
      <c r="B41" t="s">
        <v>2228</v>
      </c>
      <c r="C41" t="s">
        <v>2257</v>
      </c>
      <c r="D41" s="383">
        <v>2823</v>
      </c>
      <c r="E41" s="384">
        <v>456206433.19</v>
      </c>
      <c r="F41" s="384">
        <v>0</v>
      </c>
      <c r="G41" s="384">
        <v>0</v>
      </c>
      <c r="H41" s="384">
        <v>0</v>
      </c>
      <c r="I41" s="384">
        <v>0</v>
      </c>
      <c r="J41" s="383">
        <v>2817</v>
      </c>
      <c r="K41" s="383">
        <v>2818</v>
      </c>
    </row>
    <row r="42" spans="1:11" x14ac:dyDescent="0.3">
      <c r="A42" t="s">
        <v>2223</v>
      </c>
      <c r="B42" t="s">
        <v>2228</v>
      </c>
      <c r="C42" t="s">
        <v>2258</v>
      </c>
      <c r="D42" s="383">
        <v>4517</v>
      </c>
      <c r="E42" s="384">
        <v>730426858.85000002</v>
      </c>
      <c r="F42" s="384">
        <v>0</v>
      </c>
      <c r="G42" s="384">
        <v>0</v>
      </c>
      <c r="H42" s="384">
        <v>0</v>
      </c>
      <c r="I42" s="384">
        <v>0</v>
      </c>
      <c r="J42" s="383">
        <v>4512</v>
      </c>
      <c r="K42" s="383">
        <v>4515</v>
      </c>
    </row>
    <row r="43" spans="1:11" x14ac:dyDescent="0.3">
      <c r="A43" t="s">
        <v>2223</v>
      </c>
      <c r="B43" t="s">
        <v>2228</v>
      </c>
      <c r="C43" t="s">
        <v>2259</v>
      </c>
      <c r="D43" s="383">
        <v>7249</v>
      </c>
      <c r="E43" s="384">
        <v>1171602972.55</v>
      </c>
      <c r="F43" s="384">
        <v>0</v>
      </c>
      <c r="G43" s="384">
        <v>0</v>
      </c>
      <c r="H43" s="384">
        <v>0</v>
      </c>
      <c r="I43" s="384">
        <v>0</v>
      </c>
      <c r="J43" s="383">
        <v>7234</v>
      </c>
      <c r="K43" s="383">
        <v>7245</v>
      </c>
    </row>
    <row r="44" spans="1:11" x14ac:dyDescent="0.3">
      <c r="A44" t="s">
        <v>2223</v>
      </c>
      <c r="B44" t="s">
        <v>2228</v>
      </c>
      <c r="C44" t="s">
        <v>2260</v>
      </c>
      <c r="D44" s="383">
        <v>10999</v>
      </c>
      <c r="E44" s="384">
        <v>1781293251.9200001</v>
      </c>
      <c r="F44" s="384">
        <v>0</v>
      </c>
      <c r="G44" s="384">
        <v>0</v>
      </c>
      <c r="H44" s="384">
        <v>0</v>
      </c>
      <c r="I44" s="384">
        <v>0</v>
      </c>
      <c r="J44" s="383">
        <v>10968</v>
      </c>
      <c r="K44" s="383">
        <v>10987</v>
      </c>
    </row>
    <row r="45" spans="1:11" x14ac:dyDescent="0.3">
      <c r="A45" t="s">
        <v>2223</v>
      </c>
      <c r="B45" t="s">
        <v>2228</v>
      </c>
      <c r="C45" t="s">
        <v>2261</v>
      </c>
      <c r="D45" s="383">
        <v>6570</v>
      </c>
      <c r="E45" s="384">
        <v>1064648769.08</v>
      </c>
      <c r="F45" s="384">
        <v>0</v>
      </c>
      <c r="G45" s="384">
        <v>0</v>
      </c>
      <c r="H45" s="384">
        <v>0</v>
      </c>
      <c r="I45" s="384">
        <v>0</v>
      </c>
      <c r="J45" s="383">
        <v>6558</v>
      </c>
      <c r="K45" s="383">
        <v>6562</v>
      </c>
    </row>
    <row r="46" spans="1:11" x14ac:dyDescent="0.3">
      <c r="A46" t="s">
        <v>2223</v>
      </c>
      <c r="B46" t="s">
        <v>2228</v>
      </c>
      <c r="C46" t="s">
        <v>2262</v>
      </c>
      <c r="D46" s="383">
        <v>6451</v>
      </c>
      <c r="E46" s="384">
        <v>1046041915.22</v>
      </c>
      <c r="F46" s="384">
        <v>0</v>
      </c>
      <c r="G46" s="384">
        <v>0</v>
      </c>
      <c r="H46" s="384">
        <v>0</v>
      </c>
      <c r="I46" s="384">
        <v>0</v>
      </c>
      <c r="J46" s="383">
        <v>6443</v>
      </c>
      <c r="K46" s="383">
        <v>6448</v>
      </c>
    </row>
    <row r="47" spans="1:11" x14ac:dyDescent="0.3">
      <c r="A47" t="s">
        <v>2223</v>
      </c>
      <c r="B47" t="s">
        <v>2228</v>
      </c>
      <c r="C47" t="s">
        <v>2263</v>
      </c>
      <c r="D47" s="383">
        <v>4068</v>
      </c>
      <c r="E47" s="384">
        <v>658897276.48000002</v>
      </c>
      <c r="F47" s="384">
        <v>0</v>
      </c>
      <c r="G47" s="384">
        <v>0</v>
      </c>
      <c r="H47" s="384">
        <v>0</v>
      </c>
      <c r="I47" s="384">
        <v>0</v>
      </c>
      <c r="J47" s="383">
        <v>4067</v>
      </c>
      <c r="K47" s="383">
        <v>4067</v>
      </c>
    </row>
    <row r="48" spans="1:11" x14ac:dyDescent="0.3">
      <c r="A48" t="s">
        <v>2223</v>
      </c>
      <c r="B48" t="s">
        <v>2228</v>
      </c>
      <c r="C48" t="s">
        <v>2264</v>
      </c>
      <c r="D48" s="383">
        <v>1906</v>
      </c>
      <c r="E48" s="384">
        <v>309018647.10000002</v>
      </c>
      <c r="F48" s="384">
        <v>0</v>
      </c>
      <c r="G48" s="384">
        <v>0</v>
      </c>
      <c r="H48" s="384">
        <v>0</v>
      </c>
      <c r="I48" s="384">
        <v>0</v>
      </c>
      <c r="J48" s="383">
        <v>1904</v>
      </c>
      <c r="K48" s="383">
        <v>1906</v>
      </c>
    </row>
    <row r="49" spans="1:11" x14ac:dyDescent="0.3">
      <c r="A49" t="s">
        <v>2223</v>
      </c>
      <c r="B49" t="s">
        <v>2228</v>
      </c>
      <c r="C49" t="s">
        <v>2265</v>
      </c>
      <c r="D49" s="383">
        <v>1304</v>
      </c>
      <c r="E49" s="384">
        <v>243043322.84999999</v>
      </c>
      <c r="F49" s="384">
        <v>0</v>
      </c>
      <c r="G49" s="384">
        <v>0</v>
      </c>
      <c r="H49" s="384">
        <v>0</v>
      </c>
      <c r="I49" s="384">
        <v>0</v>
      </c>
      <c r="J49" s="383">
        <v>1302</v>
      </c>
      <c r="K49" s="383">
        <v>1304</v>
      </c>
    </row>
    <row r="50" spans="1:11" x14ac:dyDescent="0.3">
      <c r="A50" t="s">
        <v>2223</v>
      </c>
      <c r="B50" t="s">
        <v>2228</v>
      </c>
      <c r="C50" t="s">
        <v>2266</v>
      </c>
      <c r="D50" s="383">
        <v>1949</v>
      </c>
      <c r="E50" s="384">
        <v>363794471.85000002</v>
      </c>
      <c r="F50" s="384">
        <v>0</v>
      </c>
      <c r="G50" s="384">
        <v>0</v>
      </c>
      <c r="H50" s="384">
        <v>0</v>
      </c>
      <c r="I50" s="384">
        <v>0</v>
      </c>
      <c r="J50" s="383">
        <v>1947</v>
      </c>
      <c r="K50" s="383">
        <v>1947</v>
      </c>
    </row>
    <row r="51" spans="1:11" x14ac:dyDescent="0.3">
      <c r="A51" t="s">
        <v>2223</v>
      </c>
      <c r="B51" t="s">
        <v>2228</v>
      </c>
      <c r="C51" t="s">
        <v>2267</v>
      </c>
      <c r="D51" s="383">
        <v>3090</v>
      </c>
      <c r="E51" s="384">
        <v>577628061.08000004</v>
      </c>
      <c r="F51" s="384">
        <v>0</v>
      </c>
      <c r="G51" s="384">
        <v>0</v>
      </c>
      <c r="H51" s="384">
        <v>0</v>
      </c>
      <c r="I51" s="384">
        <v>0</v>
      </c>
      <c r="J51" s="383">
        <v>3086</v>
      </c>
      <c r="K51" s="383">
        <v>3086</v>
      </c>
    </row>
    <row r="52" spans="1:11" x14ac:dyDescent="0.3">
      <c r="A52" t="s">
        <v>2223</v>
      </c>
      <c r="B52" t="s">
        <v>2228</v>
      </c>
      <c r="C52" t="s">
        <v>2268</v>
      </c>
      <c r="D52" s="383">
        <v>4860</v>
      </c>
      <c r="E52" s="384">
        <v>906925733.48000002</v>
      </c>
      <c r="F52" s="384">
        <v>0</v>
      </c>
      <c r="G52" s="384">
        <v>0</v>
      </c>
      <c r="H52" s="384">
        <v>0</v>
      </c>
      <c r="I52" s="384">
        <v>0</v>
      </c>
      <c r="J52" s="383">
        <v>4854</v>
      </c>
      <c r="K52" s="383">
        <v>4859</v>
      </c>
    </row>
    <row r="53" spans="1:11" x14ac:dyDescent="0.3">
      <c r="A53" t="s">
        <v>2223</v>
      </c>
      <c r="B53" t="s">
        <v>2228</v>
      </c>
      <c r="C53" t="s">
        <v>2269</v>
      </c>
      <c r="D53" s="383">
        <v>8093</v>
      </c>
      <c r="E53" s="384">
        <v>1510711984.3699999</v>
      </c>
      <c r="F53" s="384">
        <v>0</v>
      </c>
      <c r="G53" s="384">
        <v>0</v>
      </c>
      <c r="H53" s="384">
        <v>0</v>
      </c>
      <c r="I53" s="384">
        <v>0</v>
      </c>
      <c r="J53" s="383">
        <v>8080</v>
      </c>
      <c r="K53" s="383">
        <v>8091</v>
      </c>
    </row>
    <row r="54" spans="1:11" x14ac:dyDescent="0.3">
      <c r="A54" t="s">
        <v>2223</v>
      </c>
      <c r="B54" t="s">
        <v>2228</v>
      </c>
      <c r="C54" t="s">
        <v>2270</v>
      </c>
      <c r="D54" s="383">
        <v>5606</v>
      </c>
      <c r="E54" s="384">
        <v>1049239855.47</v>
      </c>
      <c r="F54" s="384">
        <v>0</v>
      </c>
      <c r="G54" s="384">
        <v>0</v>
      </c>
      <c r="H54" s="384">
        <v>0</v>
      </c>
      <c r="I54" s="384">
        <v>0</v>
      </c>
      <c r="J54" s="383">
        <v>5596</v>
      </c>
      <c r="K54" s="383">
        <v>5601</v>
      </c>
    </row>
    <row r="55" spans="1:11" x14ac:dyDescent="0.3">
      <c r="A55" t="s">
        <v>2223</v>
      </c>
      <c r="B55" t="s">
        <v>2228</v>
      </c>
      <c r="C55" t="s">
        <v>2271</v>
      </c>
      <c r="D55" s="383">
        <v>5118</v>
      </c>
      <c r="E55" s="384">
        <v>957857667.24000001</v>
      </c>
      <c r="F55" s="384">
        <v>0</v>
      </c>
      <c r="G55" s="384">
        <v>0</v>
      </c>
      <c r="H55" s="384">
        <v>0</v>
      </c>
      <c r="I55" s="384">
        <v>0</v>
      </c>
      <c r="J55" s="383">
        <v>5117</v>
      </c>
      <c r="K55" s="383">
        <v>5118</v>
      </c>
    </row>
    <row r="56" spans="1:11" x14ac:dyDescent="0.3">
      <c r="A56" t="s">
        <v>2223</v>
      </c>
      <c r="B56" t="s">
        <v>2228</v>
      </c>
      <c r="C56" t="s">
        <v>2272</v>
      </c>
      <c r="D56" s="383">
        <v>3268</v>
      </c>
      <c r="E56" s="384">
        <v>610990291.12</v>
      </c>
      <c r="F56" s="384">
        <v>0</v>
      </c>
      <c r="G56" s="384">
        <v>0</v>
      </c>
      <c r="H56" s="384">
        <v>0</v>
      </c>
      <c r="I56" s="384">
        <v>0</v>
      </c>
      <c r="J56" s="383">
        <v>3262</v>
      </c>
      <c r="K56" s="383">
        <v>3264</v>
      </c>
    </row>
    <row r="57" spans="1:11" x14ac:dyDescent="0.3">
      <c r="A57" t="s">
        <v>2223</v>
      </c>
      <c r="B57" t="s">
        <v>2228</v>
      </c>
      <c r="C57" t="s">
        <v>2273</v>
      </c>
      <c r="D57" s="383">
        <v>1602</v>
      </c>
      <c r="E57" s="384">
        <v>299277705.89999998</v>
      </c>
      <c r="F57" s="384">
        <v>0</v>
      </c>
      <c r="G57" s="384">
        <v>0</v>
      </c>
      <c r="H57" s="384">
        <v>0</v>
      </c>
      <c r="I57" s="384">
        <v>0</v>
      </c>
      <c r="J57" s="383">
        <v>1601</v>
      </c>
      <c r="K57" s="383">
        <v>1602</v>
      </c>
    </row>
    <row r="58" spans="1:11" x14ac:dyDescent="0.3">
      <c r="A58" t="s">
        <v>2223</v>
      </c>
      <c r="B58" t="s">
        <v>2228</v>
      </c>
      <c r="C58" t="s">
        <v>2274</v>
      </c>
      <c r="D58" s="383">
        <v>1287</v>
      </c>
      <c r="E58" s="384">
        <v>284981274.97000003</v>
      </c>
      <c r="F58" s="384">
        <v>0</v>
      </c>
      <c r="G58" s="384">
        <v>0</v>
      </c>
      <c r="H58" s="384">
        <v>0</v>
      </c>
      <c r="I58" s="384">
        <v>0</v>
      </c>
      <c r="J58" s="383">
        <v>1287</v>
      </c>
      <c r="K58" s="383">
        <v>1287</v>
      </c>
    </row>
    <row r="59" spans="1:11" x14ac:dyDescent="0.3">
      <c r="A59" t="s">
        <v>2223</v>
      </c>
      <c r="B59" t="s">
        <v>2228</v>
      </c>
      <c r="C59" t="s">
        <v>2275</v>
      </c>
      <c r="D59" s="383">
        <v>2194</v>
      </c>
      <c r="E59" s="384">
        <v>487158046.79000002</v>
      </c>
      <c r="F59" s="384">
        <v>0</v>
      </c>
      <c r="G59" s="384">
        <v>0</v>
      </c>
      <c r="H59" s="384">
        <v>0</v>
      </c>
      <c r="I59" s="384">
        <v>0</v>
      </c>
      <c r="J59" s="383">
        <v>2192</v>
      </c>
      <c r="K59" s="383">
        <v>2193</v>
      </c>
    </row>
    <row r="60" spans="1:11" x14ac:dyDescent="0.3">
      <c r="A60" t="s">
        <v>2223</v>
      </c>
      <c r="B60" t="s">
        <v>2228</v>
      </c>
      <c r="C60" t="s">
        <v>2276</v>
      </c>
      <c r="D60" s="383">
        <v>3876</v>
      </c>
      <c r="E60" s="384">
        <v>861617805.00999999</v>
      </c>
      <c r="F60" s="384">
        <v>0</v>
      </c>
      <c r="G60" s="384">
        <v>0</v>
      </c>
      <c r="H60" s="384">
        <v>0</v>
      </c>
      <c r="I60" s="384">
        <v>0</v>
      </c>
      <c r="J60" s="383">
        <v>3873</v>
      </c>
      <c r="K60" s="383">
        <v>3876</v>
      </c>
    </row>
    <row r="61" spans="1:11" x14ac:dyDescent="0.3">
      <c r="A61" t="s">
        <v>2223</v>
      </c>
      <c r="B61" t="s">
        <v>2228</v>
      </c>
      <c r="C61" t="s">
        <v>2277</v>
      </c>
      <c r="D61" s="383">
        <v>5873</v>
      </c>
      <c r="E61" s="384">
        <v>1303686447.28</v>
      </c>
      <c r="F61" s="384">
        <v>0</v>
      </c>
      <c r="G61" s="384">
        <v>0</v>
      </c>
      <c r="H61" s="384">
        <v>0</v>
      </c>
      <c r="I61" s="384">
        <v>0</v>
      </c>
      <c r="J61" s="383">
        <v>5868</v>
      </c>
      <c r="K61" s="383">
        <v>5872</v>
      </c>
    </row>
    <row r="62" spans="1:11" x14ac:dyDescent="0.3">
      <c r="A62" t="s">
        <v>2223</v>
      </c>
      <c r="B62" t="s">
        <v>2228</v>
      </c>
      <c r="C62" t="s">
        <v>2278</v>
      </c>
      <c r="D62" s="383">
        <v>9942</v>
      </c>
      <c r="E62" s="384">
        <v>2211909433.4699998</v>
      </c>
      <c r="F62" s="384">
        <v>0</v>
      </c>
      <c r="G62" s="384">
        <v>0</v>
      </c>
      <c r="H62" s="384">
        <v>0</v>
      </c>
      <c r="I62" s="384">
        <v>0</v>
      </c>
      <c r="J62" s="383">
        <v>9918</v>
      </c>
      <c r="K62" s="383">
        <v>9933</v>
      </c>
    </row>
    <row r="63" spans="1:11" x14ac:dyDescent="0.3">
      <c r="A63" t="s">
        <v>2223</v>
      </c>
      <c r="B63" t="s">
        <v>2228</v>
      </c>
      <c r="C63" t="s">
        <v>2279</v>
      </c>
      <c r="D63" s="383">
        <v>7262</v>
      </c>
      <c r="E63" s="384">
        <v>1614777079.1600001</v>
      </c>
      <c r="F63" s="384">
        <v>0</v>
      </c>
      <c r="G63" s="384">
        <v>0</v>
      </c>
      <c r="H63" s="384">
        <v>0</v>
      </c>
      <c r="I63" s="384">
        <v>0</v>
      </c>
      <c r="J63" s="383">
        <v>7254</v>
      </c>
      <c r="K63" s="383">
        <v>7258</v>
      </c>
    </row>
    <row r="64" spans="1:11" x14ac:dyDescent="0.3">
      <c r="A64" t="s">
        <v>2223</v>
      </c>
      <c r="B64" t="s">
        <v>2228</v>
      </c>
      <c r="C64" t="s">
        <v>2280</v>
      </c>
      <c r="D64" s="383">
        <v>7359</v>
      </c>
      <c r="E64" s="384">
        <v>1637134157.05</v>
      </c>
      <c r="F64" s="384">
        <v>0</v>
      </c>
      <c r="G64" s="384">
        <v>0</v>
      </c>
      <c r="H64" s="384">
        <v>0</v>
      </c>
      <c r="I64" s="384">
        <v>0</v>
      </c>
      <c r="J64" s="383">
        <v>7343</v>
      </c>
      <c r="K64" s="383">
        <v>7352</v>
      </c>
    </row>
    <row r="65" spans="1:11" x14ac:dyDescent="0.3">
      <c r="A65" t="s">
        <v>2223</v>
      </c>
      <c r="B65" t="s">
        <v>2228</v>
      </c>
      <c r="C65" t="s">
        <v>2281</v>
      </c>
      <c r="D65" s="383">
        <v>4664</v>
      </c>
      <c r="E65" s="384">
        <v>1039011076.73</v>
      </c>
      <c r="F65" s="384">
        <v>0</v>
      </c>
      <c r="G65" s="384">
        <v>0</v>
      </c>
      <c r="H65" s="384">
        <v>0</v>
      </c>
      <c r="I65" s="384">
        <v>0</v>
      </c>
      <c r="J65" s="383">
        <v>4659</v>
      </c>
      <c r="K65" s="383">
        <v>4664</v>
      </c>
    </row>
    <row r="66" spans="1:11" x14ac:dyDescent="0.3">
      <c r="A66" t="s">
        <v>2223</v>
      </c>
      <c r="B66" t="s">
        <v>2228</v>
      </c>
      <c r="C66" t="s">
        <v>2282</v>
      </c>
      <c r="D66" s="383">
        <v>2326</v>
      </c>
      <c r="E66" s="384">
        <v>519645083.49000001</v>
      </c>
      <c r="F66" s="384">
        <v>0</v>
      </c>
      <c r="G66" s="384">
        <v>0</v>
      </c>
      <c r="H66" s="384">
        <v>0</v>
      </c>
      <c r="I66" s="384">
        <v>0</v>
      </c>
      <c r="J66" s="383">
        <v>2324</v>
      </c>
      <c r="K66" s="383">
        <v>2325</v>
      </c>
    </row>
    <row r="67" spans="1:11" x14ac:dyDescent="0.3">
      <c r="A67" t="s">
        <v>2223</v>
      </c>
      <c r="B67" t="s">
        <v>2228</v>
      </c>
      <c r="C67" t="s">
        <v>2283</v>
      </c>
      <c r="D67" s="383">
        <v>71305</v>
      </c>
      <c r="E67" s="384">
        <v>2578279894.9099998</v>
      </c>
      <c r="F67" s="384">
        <v>0</v>
      </c>
      <c r="G67" s="384">
        <v>0</v>
      </c>
      <c r="H67" s="384">
        <v>0</v>
      </c>
      <c r="I67" s="384">
        <v>0</v>
      </c>
      <c r="J67" s="383">
        <v>70157</v>
      </c>
      <c r="K67" s="383">
        <v>70743</v>
      </c>
    </row>
    <row r="68" spans="1:11" x14ac:dyDescent="0.3">
      <c r="A68" t="s">
        <v>2223</v>
      </c>
      <c r="B68" t="s">
        <v>2228</v>
      </c>
      <c r="C68" t="s">
        <v>2284</v>
      </c>
      <c r="D68" s="383">
        <v>24089</v>
      </c>
      <c r="E68" s="384">
        <v>913978994.83000004</v>
      </c>
      <c r="F68" s="384">
        <v>0</v>
      </c>
      <c r="G68" s="384">
        <v>0</v>
      </c>
      <c r="H68" s="384">
        <v>0</v>
      </c>
      <c r="I68" s="384">
        <v>0</v>
      </c>
      <c r="J68" s="383">
        <v>23424</v>
      </c>
      <c r="K68" s="383">
        <v>23603</v>
      </c>
    </row>
    <row r="69" spans="1:11" x14ac:dyDescent="0.3">
      <c r="A69" t="s">
        <v>2223</v>
      </c>
      <c r="B69" t="s">
        <v>2228</v>
      </c>
      <c r="C69" t="s">
        <v>2285</v>
      </c>
      <c r="D69" s="383">
        <v>22109</v>
      </c>
      <c r="E69" s="384">
        <v>845542001.39999998</v>
      </c>
      <c r="F69" s="384">
        <v>0</v>
      </c>
      <c r="G69" s="384">
        <v>0</v>
      </c>
      <c r="H69" s="384">
        <v>0</v>
      </c>
      <c r="I69" s="384">
        <v>0</v>
      </c>
      <c r="J69" s="383">
        <v>21233</v>
      </c>
      <c r="K69" s="383">
        <v>21446</v>
      </c>
    </row>
    <row r="70" spans="1:11" x14ac:dyDescent="0.3">
      <c r="A70" t="s">
        <v>2223</v>
      </c>
      <c r="B70" t="s">
        <v>2228</v>
      </c>
      <c r="C70" t="s">
        <v>2286</v>
      </c>
      <c r="D70" s="383">
        <v>21194</v>
      </c>
      <c r="E70" s="384">
        <v>810397274.71000004</v>
      </c>
      <c r="F70" s="384">
        <v>0</v>
      </c>
      <c r="G70" s="384">
        <v>0</v>
      </c>
      <c r="H70" s="384">
        <v>0</v>
      </c>
      <c r="I70" s="384">
        <v>0</v>
      </c>
      <c r="J70" s="383">
        <v>20201</v>
      </c>
      <c r="K70" s="383">
        <v>20458</v>
      </c>
    </row>
    <row r="71" spans="1:11" x14ac:dyDescent="0.3">
      <c r="A71" t="s">
        <v>2223</v>
      </c>
      <c r="B71" t="s">
        <v>2228</v>
      </c>
      <c r="C71" t="s">
        <v>2287</v>
      </c>
      <c r="D71" s="383">
        <v>19924</v>
      </c>
      <c r="E71" s="384">
        <v>767673987.02999997</v>
      </c>
      <c r="F71" s="384">
        <v>0</v>
      </c>
      <c r="G71" s="384">
        <v>0</v>
      </c>
      <c r="H71" s="384">
        <v>0</v>
      </c>
      <c r="I71" s="384">
        <v>0</v>
      </c>
      <c r="J71" s="383">
        <v>18947</v>
      </c>
      <c r="K71" s="383">
        <v>19199</v>
      </c>
    </row>
    <row r="72" spans="1:11" x14ac:dyDescent="0.3">
      <c r="A72" t="s">
        <v>2223</v>
      </c>
      <c r="B72" t="s">
        <v>2228</v>
      </c>
      <c r="C72" t="s">
        <v>2288</v>
      </c>
      <c r="D72" s="383">
        <v>6912</v>
      </c>
      <c r="E72" s="384">
        <v>264437063.87</v>
      </c>
      <c r="F72" s="384">
        <v>0</v>
      </c>
      <c r="G72" s="384">
        <v>0</v>
      </c>
      <c r="H72" s="384">
        <v>0</v>
      </c>
      <c r="I72" s="384">
        <v>0</v>
      </c>
      <c r="J72" s="383">
        <v>6638</v>
      </c>
      <c r="K72" s="383">
        <v>6694</v>
      </c>
    </row>
    <row r="73" spans="1:11" x14ac:dyDescent="0.3">
      <c r="A73" t="s">
        <v>2223</v>
      </c>
      <c r="B73" t="s">
        <v>2228</v>
      </c>
      <c r="C73" t="s">
        <v>2289</v>
      </c>
      <c r="D73" s="383">
        <v>4207</v>
      </c>
      <c r="E73" s="384">
        <v>161557646.99000001</v>
      </c>
      <c r="F73" s="384">
        <v>0</v>
      </c>
      <c r="G73" s="384">
        <v>0</v>
      </c>
      <c r="H73" s="384">
        <v>0</v>
      </c>
      <c r="I73" s="384">
        <v>0</v>
      </c>
      <c r="J73" s="383">
        <v>4071</v>
      </c>
      <c r="K73" s="383">
        <v>4091</v>
      </c>
    </row>
    <row r="74" spans="1:11" x14ac:dyDescent="0.3">
      <c r="A74" t="s">
        <v>2223</v>
      </c>
      <c r="B74" t="s">
        <v>2228</v>
      </c>
      <c r="C74" t="s">
        <v>2290</v>
      </c>
      <c r="D74" s="383">
        <v>2128</v>
      </c>
      <c r="E74" s="384">
        <v>81811964.769999996</v>
      </c>
      <c r="F74" s="384">
        <v>0</v>
      </c>
      <c r="G74" s="384">
        <v>0</v>
      </c>
      <c r="H74" s="384">
        <v>0</v>
      </c>
      <c r="I74" s="384">
        <v>0</v>
      </c>
      <c r="J74" s="383">
        <v>2084</v>
      </c>
      <c r="K74" s="383">
        <v>2091</v>
      </c>
    </row>
    <row r="75" spans="1:11" x14ac:dyDescent="0.3">
      <c r="A75" t="s">
        <v>2223</v>
      </c>
      <c r="B75" t="s">
        <v>2228</v>
      </c>
      <c r="C75" t="s">
        <v>2291</v>
      </c>
      <c r="D75" s="383">
        <v>779</v>
      </c>
      <c r="E75" s="384">
        <v>29081101.859999999</v>
      </c>
      <c r="F75" s="384">
        <v>0</v>
      </c>
      <c r="G75" s="384">
        <v>0</v>
      </c>
      <c r="H75" s="384">
        <v>0</v>
      </c>
      <c r="I75" s="384">
        <v>0</v>
      </c>
      <c r="J75" s="383">
        <v>761</v>
      </c>
      <c r="K75" s="383">
        <v>770</v>
      </c>
    </row>
    <row r="76" spans="1:11" x14ac:dyDescent="0.3">
      <c r="A76" t="s">
        <v>2223</v>
      </c>
      <c r="B76" t="s">
        <v>2228</v>
      </c>
      <c r="C76" t="s">
        <v>2292</v>
      </c>
      <c r="D76" s="383">
        <v>1056</v>
      </c>
      <c r="E76" s="384">
        <v>321047465.01999998</v>
      </c>
      <c r="F76" s="384">
        <v>0</v>
      </c>
      <c r="G76" s="384">
        <v>0</v>
      </c>
      <c r="H76" s="384">
        <v>0</v>
      </c>
      <c r="I76" s="384">
        <v>0</v>
      </c>
      <c r="J76" s="383">
        <v>1056</v>
      </c>
      <c r="K76" s="383">
        <v>1056</v>
      </c>
    </row>
    <row r="77" spans="1:11" x14ac:dyDescent="0.3">
      <c r="A77" t="s">
        <v>2223</v>
      </c>
      <c r="B77" t="s">
        <v>2228</v>
      </c>
      <c r="C77" t="s">
        <v>2293</v>
      </c>
      <c r="D77" s="383">
        <v>1890</v>
      </c>
      <c r="E77" s="384">
        <v>581446230.00999999</v>
      </c>
      <c r="F77" s="384">
        <v>0</v>
      </c>
      <c r="G77" s="384">
        <v>0</v>
      </c>
      <c r="H77" s="384">
        <v>0</v>
      </c>
      <c r="I77" s="384">
        <v>0</v>
      </c>
      <c r="J77" s="383">
        <v>1890</v>
      </c>
      <c r="K77" s="383">
        <v>1890</v>
      </c>
    </row>
    <row r="78" spans="1:11" x14ac:dyDescent="0.3">
      <c r="A78" t="s">
        <v>2223</v>
      </c>
      <c r="B78" t="s">
        <v>2228</v>
      </c>
      <c r="C78" t="s">
        <v>2294</v>
      </c>
      <c r="D78" s="383">
        <v>3604</v>
      </c>
      <c r="E78" s="384">
        <v>1115838628.3</v>
      </c>
      <c r="F78" s="384">
        <v>0</v>
      </c>
      <c r="G78" s="384">
        <v>0</v>
      </c>
      <c r="H78" s="384">
        <v>0</v>
      </c>
      <c r="I78" s="384">
        <v>0</v>
      </c>
      <c r="J78" s="383">
        <v>3600</v>
      </c>
      <c r="K78" s="383">
        <v>3604</v>
      </c>
    </row>
    <row r="79" spans="1:11" x14ac:dyDescent="0.3">
      <c r="A79" t="s">
        <v>2223</v>
      </c>
      <c r="B79" t="s">
        <v>2228</v>
      </c>
      <c r="C79" t="s">
        <v>2295</v>
      </c>
      <c r="D79" s="383">
        <v>5424</v>
      </c>
      <c r="E79" s="384">
        <v>1677412850.6099999</v>
      </c>
      <c r="F79" s="384">
        <v>0</v>
      </c>
      <c r="G79" s="384">
        <v>0</v>
      </c>
      <c r="H79" s="384">
        <v>0</v>
      </c>
      <c r="I79" s="384">
        <v>0</v>
      </c>
      <c r="J79" s="383">
        <v>5419</v>
      </c>
      <c r="K79" s="383">
        <v>5424</v>
      </c>
    </row>
    <row r="80" spans="1:11" x14ac:dyDescent="0.3">
      <c r="A80" t="s">
        <v>2223</v>
      </c>
      <c r="B80" t="s">
        <v>2228</v>
      </c>
      <c r="C80" t="s">
        <v>2296</v>
      </c>
      <c r="D80" s="383">
        <v>9750</v>
      </c>
      <c r="E80" s="384">
        <v>3034733038.29</v>
      </c>
      <c r="F80" s="384">
        <v>0</v>
      </c>
      <c r="G80" s="384">
        <v>0</v>
      </c>
      <c r="H80" s="384">
        <v>0</v>
      </c>
      <c r="I80" s="384">
        <v>0</v>
      </c>
      <c r="J80" s="383">
        <v>9737</v>
      </c>
      <c r="K80" s="383">
        <v>9750</v>
      </c>
    </row>
    <row r="81" spans="1:11" x14ac:dyDescent="0.3">
      <c r="A81" t="s">
        <v>2223</v>
      </c>
      <c r="B81" t="s">
        <v>2228</v>
      </c>
      <c r="C81" t="s">
        <v>2297</v>
      </c>
      <c r="D81" s="383">
        <v>7635</v>
      </c>
      <c r="E81" s="384">
        <v>2409671472.6599998</v>
      </c>
      <c r="F81" s="384">
        <v>0</v>
      </c>
      <c r="G81" s="384">
        <v>0</v>
      </c>
      <c r="H81" s="384">
        <v>0</v>
      </c>
      <c r="I81" s="384">
        <v>0</v>
      </c>
      <c r="J81" s="383">
        <v>7625</v>
      </c>
      <c r="K81" s="383">
        <v>7635</v>
      </c>
    </row>
    <row r="82" spans="1:11" x14ac:dyDescent="0.3">
      <c r="A82" t="s">
        <v>2223</v>
      </c>
      <c r="B82" t="s">
        <v>2228</v>
      </c>
      <c r="C82" t="s">
        <v>2298</v>
      </c>
      <c r="D82" s="383">
        <v>7406</v>
      </c>
      <c r="E82" s="384">
        <v>2343550313.4000001</v>
      </c>
      <c r="F82" s="384">
        <v>0</v>
      </c>
      <c r="G82" s="384">
        <v>0</v>
      </c>
      <c r="H82" s="384">
        <v>0</v>
      </c>
      <c r="I82" s="384">
        <v>0</v>
      </c>
      <c r="J82" s="383">
        <v>7395</v>
      </c>
      <c r="K82" s="383">
        <v>7406</v>
      </c>
    </row>
    <row r="83" spans="1:11" x14ac:dyDescent="0.3">
      <c r="A83" t="s">
        <v>2223</v>
      </c>
      <c r="B83" t="s">
        <v>2228</v>
      </c>
      <c r="C83" t="s">
        <v>2299</v>
      </c>
      <c r="D83" s="383">
        <v>4913</v>
      </c>
      <c r="E83" s="384">
        <v>1548904646.8199999</v>
      </c>
      <c r="F83" s="384">
        <v>0</v>
      </c>
      <c r="G83" s="384">
        <v>0</v>
      </c>
      <c r="H83" s="384">
        <v>0</v>
      </c>
      <c r="I83" s="384">
        <v>0</v>
      </c>
      <c r="J83" s="383">
        <v>4902</v>
      </c>
      <c r="K83" s="383">
        <v>4913</v>
      </c>
    </row>
    <row r="84" spans="1:11" x14ac:dyDescent="0.3">
      <c r="A84" t="s">
        <v>2223</v>
      </c>
      <c r="B84" t="s">
        <v>2228</v>
      </c>
      <c r="C84" t="s">
        <v>2300</v>
      </c>
      <c r="D84" s="383">
        <v>2551</v>
      </c>
      <c r="E84" s="384">
        <v>808602820.71000004</v>
      </c>
      <c r="F84" s="384">
        <v>0</v>
      </c>
      <c r="G84" s="384">
        <v>0</v>
      </c>
      <c r="H84" s="384">
        <v>0</v>
      </c>
      <c r="I84" s="384">
        <v>0</v>
      </c>
      <c r="J84" s="383">
        <v>2548</v>
      </c>
      <c r="K84" s="383">
        <v>2551</v>
      </c>
    </row>
    <row r="85" spans="1:11" x14ac:dyDescent="0.3">
      <c r="A85" t="s">
        <v>2223</v>
      </c>
      <c r="B85" t="s">
        <v>2228</v>
      </c>
      <c r="C85" t="s">
        <v>2301</v>
      </c>
      <c r="D85" s="383">
        <v>33385</v>
      </c>
      <c r="E85" s="384">
        <v>2029416647.9300001</v>
      </c>
      <c r="F85" s="384">
        <v>0</v>
      </c>
      <c r="G85" s="384">
        <v>0</v>
      </c>
      <c r="H85" s="384">
        <v>0</v>
      </c>
      <c r="I85" s="384">
        <v>0</v>
      </c>
      <c r="J85" s="383">
        <v>33174</v>
      </c>
      <c r="K85" s="383">
        <v>33301</v>
      </c>
    </row>
    <row r="86" spans="1:11" x14ac:dyDescent="0.3">
      <c r="A86" t="s">
        <v>2223</v>
      </c>
      <c r="B86" t="s">
        <v>2228</v>
      </c>
      <c r="C86" t="s">
        <v>2302</v>
      </c>
      <c r="D86" s="383">
        <v>22986</v>
      </c>
      <c r="E86" s="384">
        <v>1421022551.48</v>
      </c>
      <c r="F86" s="384">
        <v>0</v>
      </c>
      <c r="G86" s="384">
        <v>0</v>
      </c>
      <c r="H86" s="384">
        <v>0</v>
      </c>
      <c r="I86" s="384">
        <v>0</v>
      </c>
      <c r="J86" s="383">
        <v>22752</v>
      </c>
      <c r="K86" s="383">
        <v>22856</v>
      </c>
    </row>
    <row r="87" spans="1:11" x14ac:dyDescent="0.3">
      <c r="A87" t="s">
        <v>2223</v>
      </c>
      <c r="B87" t="s">
        <v>2228</v>
      </c>
      <c r="C87" t="s">
        <v>2303</v>
      </c>
      <c r="D87" s="383">
        <v>24737</v>
      </c>
      <c r="E87" s="384">
        <v>1541682227.8199999</v>
      </c>
      <c r="F87" s="384">
        <v>0</v>
      </c>
      <c r="G87" s="384">
        <v>0</v>
      </c>
      <c r="H87" s="384">
        <v>0</v>
      </c>
      <c r="I87" s="384">
        <v>0</v>
      </c>
      <c r="J87" s="383">
        <v>24381</v>
      </c>
      <c r="K87" s="383">
        <v>24487</v>
      </c>
    </row>
    <row r="88" spans="1:11" x14ac:dyDescent="0.3">
      <c r="A88" t="s">
        <v>2223</v>
      </c>
      <c r="B88" t="s">
        <v>2228</v>
      </c>
      <c r="C88" t="s">
        <v>2304</v>
      </c>
      <c r="D88" s="383">
        <v>24252</v>
      </c>
      <c r="E88" s="384">
        <v>1511565467.21</v>
      </c>
      <c r="F88" s="384">
        <v>0</v>
      </c>
      <c r="G88" s="384">
        <v>0</v>
      </c>
      <c r="H88" s="384">
        <v>0</v>
      </c>
      <c r="I88" s="384">
        <v>0</v>
      </c>
      <c r="J88" s="383">
        <v>23645</v>
      </c>
      <c r="K88" s="383">
        <v>23796</v>
      </c>
    </row>
    <row r="89" spans="1:11" x14ac:dyDescent="0.3">
      <c r="A89" t="s">
        <v>2223</v>
      </c>
      <c r="B89" t="s">
        <v>2228</v>
      </c>
      <c r="C89" t="s">
        <v>2305</v>
      </c>
      <c r="D89" s="383">
        <v>23860</v>
      </c>
      <c r="E89" s="384">
        <v>1488640320.03</v>
      </c>
      <c r="F89" s="384">
        <v>0</v>
      </c>
      <c r="G89" s="384">
        <v>0</v>
      </c>
      <c r="H89" s="384">
        <v>0</v>
      </c>
      <c r="I89" s="384">
        <v>0</v>
      </c>
      <c r="J89" s="383">
        <v>23121</v>
      </c>
      <c r="K89" s="383">
        <v>23330</v>
      </c>
    </row>
    <row r="90" spans="1:11" x14ac:dyDescent="0.3">
      <c r="A90" t="s">
        <v>2223</v>
      </c>
      <c r="B90" t="s">
        <v>2228</v>
      </c>
      <c r="C90" t="s">
        <v>2306</v>
      </c>
      <c r="D90" s="383">
        <v>9677</v>
      </c>
      <c r="E90" s="384">
        <v>607766226.63999999</v>
      </c>
      <c r="F90" s="384">
        <v>0</v>
      </c>
      <c r="G90" s="384">
        <v>0</v>
      </c>
      <c r="H90" s="384">
        <v>0</v>
      </c>
      <c r="I90" s="384">
        <v>0</v>
      </c>
      <c r="J90" s="383">
        <v>9483</v>
      </c>
      <c r="K90" s="383">
        <v>9526</v>
      </c>
    </row>
    <row r="91" spans="1:11" x14ac:dyDescent="0.3">
      <c r="A91" t="s">
        <v>2223</v>
      </c>
      <c r="B91" t="s">
        <v>2228</v>
      </c>
      <c r="C91" t="s">
        <v>2307</v>
      </c>
      <c r="D91" s="383">
        <v>6795</v>
      </c>
      <c r="E91" s="384">
        <v>428231783.16000003</v>
      </c>
      <c r="F91" s="384">
        <v>0</v>
      </c>
      <c r="G91" s="384">
        <v>0</v>
      </c>
      <c r="H91" s="384">
        <v>0</v>
      </c>
      <c r="I91" s="384">
        <v>0</v>
      </c>
      <c r="J91" s="383">
        <v>6668</v>
      </c>
      <c r="K91" s="383">
        <v>6699</v>
      </c>
    </row>
    <row r="92" spans="1:11" x14ac:dyDescent="0.3">
      <c r="A92" t="s">
        <v>2223</v>
      </c>
      <c r="B92" t="s">
        <v>2228</v>
      </c>
      <c r="C92" t="s">
        <v>2308</v>
      </c>
      <c r="D92" s="383">
        <v>3458</v>
      </c>
      <c r="E92" s="384">
        <v>219073884.06</v>
      </c>
      <c r="F92" s="384">
        <v>0</v>
      </c>
      <c r="G92" s="384">
        <v>0</v>
      </c>
      <c r="H92" s="384">
        <v>0</v>
      </c>
      <c r="I92" s="384">
        <v>0</v>
      </c>
      <c r="J92" s="383">
        <v>3405</v>
      </c>
      <c r="K92" s="383">
        <v>3422</v>
      </c>
    </row>
    <row r="93" spans="1:11" x14ac:dyDescent="0.3">
      <c r="A93" t="s">
        <v>2223</v>
      </c>
      <c r="B93" t="s">
        <v>2228</v>
      </c>
      <c r="C93" t="s">
        <v>2309</v>
      </c>
      <c r="D93" s="383">
        <v>1449</v>
      </c>
      <c r="E93" s="384">
        <v>92431681.939999998</v>
      </c>
      <c r="F93" s="384">
        <v>0</v>
      </c>
      <c r="G93" s="384">
        <v>0</v>
      </c>
      <c r="H93" s="384">
        <v>0</v>
      </c>
      <c r="I93" s="384">
        <v>0</v>
      </c>
      <c r="J93" s="383">
        <v>1437</v>
      </c>
      <c r="K93" s="383">
        <v>1442</v>
      </c>
    </row>
    <row r="94" spans="1:11" x14ac:dyDescent="0.3">
      <c r="A94" t="s">
        <v>2223</v>
      </c>
      <c r="B94" t="s">
        <v>2228</v>
      </c>
      <c r="C94" t="s">
        <v>2310</v>
      </c>
      <c r="D94" s="383">
        <v>1</v>
      </c>
      <c r="E94" s="384">
        <v>637360.49</v>
      </c>
      <c r="F94" s="384">
        <v>0</v>
      </c>
      <c r="G94" s="384">
        <v>0</v>
      </c>
      <c r="H94" s="384">
        <v>0</v>
      </c>
      <c r="I94" s="384">
        <v>0</v>
      </c>
      <c r="J94" s="383">
        <v>1</v>
      </c>
      <c r="K94" s="383">
        <v>1</v>
      </c>
    </row>
    <row r="95" spans="1:11" x14ac:dyDescent="0.3">
      <c r="A95" t="s">
        <v>2223</v>
      </c>
      <c r="B95" t="s">
        <v>2228</v>
      </c>
      <c r="C95" t="s">
        <v>2311</v>
      </c>
      <c r="D95" s="383">
        <v>4</v>
      </c>
      <c r="E95" s="384">
        <v>2011155.33</v>
      </c>
      <c r="F95" s="384">
        <v>0</v>
      </c>
      <c r="G95" s="384">
        <v>0</v>
      </c>
      <c r="H95" s="384">
        <v>0</v>
      </c>
      <c r="I95" s="384">
        <v>0</v>
      </c>
      <c r="J95" s="383">
        <v>4</v>
      </c>
      <c r="K95" s="383">
        <v>4</v>
      </c>
    </row>
    <row r="96" spans="1:11" x14ac:dyDescent="0.3">
      <c r="A96" t="s">
        <v>2223</v>
      </c>
      <c r="B96" t="s">
        <v>2228</v>
      </c>
      <c r="C96" t="s">
        <v>2312</v>
      </c>
      <c r="D96" s="383">
        <v>94</v>
      </c>
      <c r="E96" s="384">
        <v>48144849.229999997</v>
      </c>
      <c r="F96" s="384">
        <v>0</v>
      </c>
      <c r="G96" s="384">
        <v>0</v>
      </c>
      <c r="H96" s="384">
        <v>0</v>
      </c>
      <c r="I96" s="384">
        <v>0</v>
      </c>
      <c r="J96" s="383">
        <v>94</v>
      </c>
      <c r="K96" s="383">
        <v>94</v>
      </c>
    </row>
    <row r="97" spans="1:11" x14ac:dyDescent="0.3">
      <c r="A97" t="s">
        <v>2223</v>
      </c>
      <c r="B97" t="s">
        <v>2228</v>
      </c>
      <c r="C97" t="s">
        <v>2313</v>
      </c>
      <c r="D97" s="383">
        <v>120</v>
      </c>
      <c r="E97" s="384">
        <v>63156302.299999997</v>
      </c>
      <c r="F97" s="384">
        <v>0</v>
      </c>
      <c r="G97" s="384">
        <v>0</v>
      </c>
      <c r="H97" s="384">
        <v>0</v>
      </c>
      <c r="I97" s="384">
        <v>0</v>
      </c>
      <c r="J97" s="383">
        <v>120</v>
      </c>
      <c r="K97" s="383">
        <v>120</v>
      </c>
    </row>
    <row r="98" spans="1:11" x14ac:dyDescent="0.3">
      <c r="A98" t="s">
        <v>2223</v>
      </c>
      <c r="B98" t="s">
        <v>2228</v>
      </c>
      <c r="C98" t="s">
        <v>2314</v>
      </c>
      <c r="D98" s="383">
        <v>83</v>
      </c>
      <c r="E98" s="384">
        <v>44286267.18</v>
      </c>
      <c r="F98" s="384">
        <v>0</v>
      </c>
      <c r="G98" s="384">
        <v>0</v>
      </c>
      <c r="H98" s="384">
        <v>0</v>
      </c>
      <c r="I98" s="384">
        <v>0</v>
      </c>
      <c r="J98" s="383">
        <v>83</v>
      </c>
      <c r="K98" s="383">
        <v>83</v>
      </c>
    </row>
    <row r="99" spans="1:11" x14ac:dyDescent="0.3">
      <c r="A99" t="s">
        <v>2223</v>
      </c>
      <c r="B99" t="s">
        <v>2228</v>
      </c>
      <c r="C99" t="s">
        <v>2315</v>
      </c>
      <c r="D99" s="383">
        <v>15053</v>
      </c>
      <c r="E99" s="384">
        <v>1295021200.4200001</v>
      </c>
      <c r="F99" s="384">
        <v>0</v>
      </c>
      <c r="G99" s="384">
        <v>0</v>
      </c>
      <c r="H99" s="384">
        <v>0</v>
      </c>
      <c r="I99" s="384">
        <v>0</v>
      </c>
      <c r="J99" s="383">
        <v>15006</v>
      </c>
      <c r="K99" s="383">
        <v>15036</v>
      </c>
    </row>
    <row r="100" spans="1:11" x14ac:dyDescent="0.3">
      <c r="A100" t="s">
        <v>2223</v>
      </c>
      <c r="B100" t="s">
        <v>2228</v>
      </c>
      <c r="C100" t="s">
        <v>2316</v>
      </c>
      <c r="D100" s="383">
        <v>13627</v>
      </c>
      <c r="E100" s="384">
        <v>1175885096.3499999</v>
      </c>
      <c r="F100" s="384">
        <v>0</v>
      </c>
      <c r="G100" s="384">
        <v>0</v>
      </c>
      <c r="H100" s="384">
        <v>0</v>
      </c>
      <c r="I100" s="384">
        <v>0</v>
      </c>
      <c r="J100" s="383">
        <v>13578</v>
      </c>
      <c r="K100" s="383">
        <v>13602</v>
      </c>
    </row>
    <row r="101" spans="1:11" x14ac:dyDescent="0.3">
      <c r="A101" t="s">
        <v>2223</v>
      </c>
      <c r="B101" t="s">
        <v>2228</v>
      </c>
      <c r="C101" t="s">
        <v>2317</v>
      </c>
      <c r="D101" s="383">
        <v>19625</v>
      </c>
      <c r="E101" s="384">
        <v>1698377616.5699999</v>
      </c>
      <c r="F101" s="384">
        <v>0</v>
      </c>
      <c r="G101" s="384">
        <v>0</v>
      </c>
      <c r="H101" s="384">
        <v>0</v>
      </c>
      <c r="I101" s="384">
        <v>0</v>
      </c>
      <c r="J101" s="383">
        <v>19505</v>
      </c>
      <c r="K101" s="383">
        <v>19569</v>
      </c>
    </row>
    <row r="102" spans="1:11" x14ac:dyDescent="0.3">
      <c r="A102" t="s">
        <v>2223</v>
      </c>
      <c r="B102" t="s">
        <v>2228</v>
      </c>
      <c r="C102" t="s">
        <v>2318</v>
      </c>
      <c r="D102" s="383">
        <v>21829</v>
      </c>
      <c r="E102" s="384">
        <v>1899901232.77</v>
      </c>
      <c r="F102" s="384">
        <v>0</v>
      </c>
      <c r="G102" s="384">
        <v>0</v>
      </c>
      <c r="H102" s="384">
        <v>0</v>
      </c>
      <c r="I102" s="384">
        <v>0</v>
      </c>
      <c r="J102" s="383">
        <v>21644</v>
      </c>
      <c r="K102" s="383">
        <v>21743</v>
      </c>
    </row>
    <row r="103" spans="1:11" x14ac:dyDescent="0.3">
      <c r="A103" t="s">
        <v>2223</v>
      </c>
      <c r="B103" t="s">
        <v>2228</v>
      </c>
      <c r="C103" t="s">
        <v>2319</v>
      </c>
      <c r="D103" s="383">
        <v>22515</v>
      </c>
      <c r="E103" s="384">
        <v>1970008732.48</v>
      </c>
      <c r="F103" s="384">
        <v>0</v>
      </c>
      <c r="G103" s="384">
        <v>0</v>
      </c>
      <c r="H103" s="384">
        <v>0</v>
      </c>
      <c r="I103" s="384">
        <v>0</v>
      </c>
      <c r="J103" s="383">
        <v>22315</v>
      </c>
      <c r="K103" s="383">
        <v>22408</v>
      </c>
    </row>
    <row r="104" spans="1:11" x14ac:dyDescent="0.3">
      <c r="A104" t="s">
        <v>2223</v>
      </c>
      <c r="B104" t="s">
        <v>2228</v>
      </c>
      <c r="C104" t="s">
        <v>2320</v>
      </c>
      <c r="D104" s="383">
        <v>10004</v>
      </c>
      <c r="E104" s="384">
        <v>878300770.53999996</v>
      </c>
      <c r="F104" s="384">
        <v>0</v>
      </c>
      <c r="G104" s="384">
        <v>0</v>
      </c>
      <c r="H104" s="384">
        <v>0</v>
      </c>
      <c r="I104" s="384">
        <v>0</v>
      </c>
      <c r="J104" s="383">
        <v>9919</v>
      </c>
      <c r="K104" s="383">
        <v>9951</v>
      </c>
    </row>
    <row r="105" spans="1:11" x14ac:dyDescent="0.3">
      <c r="A105" t="s">
        <v>2223</v>
      </c>
      <c r="B105" t="s">
        <v>2228</v>
      </c>
      <c r="C105" t="s">
        <v>2321</v>
      </c>
      <c r="D105" s="383">
        <v>7981</v>
      </c>
      <c r="E105" s="384">
        <v>700269127.91999996</v>
      </c>
      <c r="F105" s="384">
        <v>0</v>
      </c>
      <c r="G105" s="384">
        <v>0</v>
      </c>
      <c r="H105" s="384">
        <v>0</v>
      </c>
      <c r="I105" s="384">
        <v>0</v>
      </c>
      <c r="J105" s="383">
        <v>7908</v>
      </c>
      <c r="K105" s="383">
        <v>7932</v>
      </c>
    </row>
    <row r="106" spans="1:11" x14ac:dyDescent="0.3">
      <c r="A106" t="s">
        <v>2223</v>
      </c>
      <c r="B106" t="s">
        <v>2228</v>
      </c>
      <c r="C106" t="s">
        <v>2322</v>
      </c>
      <c r="D106" s="383">
        <v>4564</v>
      </c>
      <c r="E106" s="384">
        <v>400039625.38999999</v>
      </c>
      <c r="F106" s="384">
        <v>0</v>
      </c>
      <c r="G106" s="384">
        <v>0</v>
      </c>
      <c r="H106" s="384">
        <v>0</v>
      </c>
      <c r="I106" s="384">
        <v>0</v>
      </c>
      <c r="J106" s="383">
        <v>4522</v>
      </c>
      <c r="K106" s="383">
        <v>4538</v>
      </c>
    </row>
    <row r="107" spans="1:11" x14ac:dyDescent="0.3">
      <c r="A107" t="s">
        <v>2223</v>
      </c>
      <c r="B107" t="s">
        <v>2228</v>
      </c>
      <c r="C107" t="s">
        <v>2323</v>
      </c>
      <c r="D107" s="383">
        <v>1989</v>
      </c>
      <c r="E107" s="384">
        <v>174241977.47</v>
      </c>
      <c r="F107" s="384">
        <v>0</v>
      </c>
      <c r="G107" s="384">
        <v>0</v>
      </c>
      <c r="H107" s="384">
        <v>0</v>
      </c>
      <c r="I107" s="384">
        <v>0</v>
      </c>
      <c r="J107" s="383">
        <v>1985</v>
      </c>
      <c r="K107" s="383">
        <v>1987</v>
      </c>
    </row>
    <row r="108" spans="1:11" x14ac:dyDescent="0.3">
      <c r="A108" t="s">
        <v>2223</v>
      </c>
      <c r="B108" t="s">
        <v>2324</v>
      </c>
      <c r="C108" t="s">
        <v>2325</v>
      </c>
      <c r="D108" s="383">
        <v>26547</v>
      </c>
      <c r="E108" s="384">
        <v>1887869069.02</v>
      </c>
      <c r="F108" s="384">
        <v>0</v>
      </c>
      <c r="G108" s="384">
        <v>0</v>
      </c>
      <c r="H108" s="384">
        <v>0</v>
      </c>
      <c r="I108" s="384">
        <v>0</v>
      </c>
      <c r="J108" s="383">
        <v>25731</v>
      </c>
      <c r="K108" s="383">
        <v>25827</v>
      </c>
    </row>
    <row r="109" spans="1:11" x14ac:dyDescent="0.3">
      <c r="A109" t="s">
        <v>2223</v>
      </c>
      <c r="B109" t="s">
        <v>2324</v>
      </c>
      <c r="C109" t="s">
        <v>2326</v>
      </c>
      <c r="D109" s="383">
        <v>21445</v>
      </c>
      <c r="E109" s="384">
        <v>1962476377.1500001</v>
      </c>
      <c r="F109" s="384">
        <v>0</v>
      </c>
      <c r="G109" s="384">
        <v>0</v>
      </c>
      <c r="H109" s="384">
        <v>0</v>
      </c>
      <c r="I109" s="384">
        <v>0</v>
      </c>
      <c r="J109" s="383">
        <v>20381</v>
      </c>
      <c r="K109" s="383">
        <v>20450</v>
      </c>
    </row>
    <row r="110" spans="1:11" x14ac:dyDescent="0.3">
      <c r="A110" t="s">
        <v>2223</v>
      </c>
      <c r="B110" t="s">
        <v>2324</v>
      </c>
      <c r="C110" t="s">
        <v>2327</v>
      </c>
      <c r="D110" s="383">
        <v>40186</v>
      </c>
      <c r="E110" s="384">
        <v>3683128228.1799998</v>
      </c>
      <c r="F110" s="384">
        <v>0</v>
      </c>
      <c r="G110" s="384">
        <v>0</v>
      </c>
      <c r="H110" s="384">
        <v>0</v>
      </c>
      <c r="I110" s="384">
        <v>0</v>
      </c>
      <c r="J110" s="383">
        <v>37901</v>
      </c>
      <c r="K110" s="383">
        <v>38235</v>
      </c>
    </row>
    <row r="111" spans="1:11" x14ac:dyDescent="0.3">
      <c r="A111" t="s">
        <v>2223</v>
      </c>
      <c r="B111" t="s">
        <v>2324</v>
      </c>
      <c r="C111" t="s">
        <v>2328</v>
      </c>
      <c r="D111" s="383">
        <v>60208</v>
      </c>
      <c r="E111" s="384">
        <v>5743298558.8100004</v>
      </c>
      <c r="F111" s="384">
        <v>0</v>
      </c>
      <c r="G111" s="384">
        <v>0</v>
      </c>
      <c r="H111" s="384">
        <v>0</v>
      </c>
      <c r="I111" s="384">
        <v>0</v>
      </c>
      <c r="J111" s="383">
        <v>56926</v>
      </c>
      <c r="K111" s="383">
        <v>57912</v>
      </c>
    </row>
    <row r="112" spans="1:11" x14ac:dyDescent="0.3">
      <c r="A112" t="s">
        <v>2223</v>
      </c>
      <c r="B112" t="s">
        <v>2324</v>
      </c>
      <c r="C112" t="s">
        <v>2329</v>
      </c>
      <c r="D112" s="383">
        <v>58831</v>
      </c>
      <c r="E112" s="384">
        <v>5850789814.8900003</v>
      </c>
      <c r="F112" s="384">
        <v>0</v>
      </c>
      <c r="G112" s="384">
        <v>0</v>
      </c>
      <c r="H112" s="384">
        <v>0</v>
      </c>
      <c r="I112" s="384">
        <v>0</v>
      </c>
      <c r="J112" s="383">
        <v>56428</v>
      </c>
      <c r="K112" s="383">
        <v>57688</v>
      </c>
    </row>
    <row r="113" spans="1:11" x14ac:dyDescent="0.3">
      <c r="A113" t="s">
        <v>2223</v>
      </c>
      <c r="B113" t="s">
        <v>2324</v>
      </c>
      <c r="C113" t="s">
        <v>2330</v>
      </c>
      <c r="D113" s="383">
        <v>16393</v>
      </c>
      <c r="E113" s="384">
        <v>1610580052.4300001</v>
      </c>
      <c r="F113" s="384">
        <v>0</v>
      </c>
      <c r="G113" s="384">
        <v>0</v>
      </c>
      <c r="H113" s="384">
        <v>0</v>
      </c>
      <c r="I113" s="384">
        <v>0</v>
      </c>
      <c r="J113" s="383">
        <v>16031</v>
      </c>
      <c r="K113" s="383">
        <v>16196</v>
      </c>
    </row>
    <row r="114" spans="1:11" x14ac:dyDescent="0.3">
      <c r="A114" t="s">
        <v>2223</v>
      </c>
      <c r="B114" t="s">
        <v>2324</v>
      </c>
      <c r="C114" t="s">
        <v>2331</v>
      </c>
      <c r="D114" s="383">
        <v>7976</v>
      </c>
      <c r="E114" s="384">
        <v>717479932.77999997</v>
      </c>
      <c r="F114" s="384">
        <v>0</v>
      </c>
      <c r="G114" s="384">
        <v>0</v>
      </c>
      <c r="H114" s="384">
        <v>0</v>
      </c>
      <c r="I114" s="384">
        <v>0</v>
      </c>
      <c r="J114" s="383">
        <v>7838</v>
      </c>
      <c r="K114" s="383">
        <v>7865</v>
      </c>
    </row>
    <row r="115" spans="1:11" x14ac:dyDescent="0.3">
      <c r="A115" t="s">
        <v>2223</v>
      </c>
      <c r="B115" t="s">
        <v>2324</v>
      </c>
      <c r="C115" t="s">
        <v>2332</v>
      </c>
      <c r="D115" s="383">
        <v>3696</v>
      </c>
      <c r="E115" s="384">
        <v>335063702.98000002</v>
      </c>
      <c r="F115" s="384">
        <v>0</v>
      </c>
      <c r="G115" s="384">
        <v>0</v>
      </c>
      <c r="H115" s="384">
        <v>0</v>
      </c>
      <c r="I115" s="384">
        <v>0</v>
      </c>
      <c r="J115" s="383">
        <v>3648</v>
      </c>
      <c r="K115" s="383">
        <v>3660</v>
      </c>
    </row>
    <row r="116" spans="1:11" x14ac:dyDescent="0.3">
      <c r="A116" t="s">
        <v>2223</v>
      </c>
      <c r="B116" t="s">
        <v>2324</v>
      </c>
      <c r="C116" t="s">
        <v>2333</v>
      </c>
      <c r="D116" s="383">
        <v>1379</v>
      </c>
      <c r="E116" s="384">
        <v>134776533.06</v>
      </c>
      <c r="F116" s="384">
        <v>0</v>
      </c>
      <c r="G116" s="384">
        <v>0</v>
      </c>
      <c r="H116" s="384">
        <v>0</v>
      </c>
      <c r="I116" s="384">
        <v>0</v>
      </c>
      <c r="J116" s="383">
        <v>1357</v>
      </c>
      <c r="K116" s="383">
        <v>1365</v>
      </c>
    </row>
    <row r="117" spans="1:11" x14ac:dyDescent="0.3">
      <c r="A117" t="s">
        <v>2223</v>
      </c>
      <c r="B117" t="s">
        <v>2324</v>
      </c>
      <c r="C117" t="s">
        <v>2334</v>
      </c>
      <c r="D117" s="383">
        <v>6896</v>
      </c>
      <c r="E117" s="384">
        <v>689008050.66999996</v>
      </c>
      <c r="F117" s="384">
        <v>0</v>
      </c>
      <c r="G117" s="384">
        <v>0</v>
      </c>
      <c r="H117" s="384">
        <v>0</v>
      </c>
      <c r="I117" s="384">
        <v>0</v>
      </c>
      <c r="J117" s="383">
        <v>6816</v>
      </c>
      <c r="K117" s="383">
        <v>6830</v>
      </c>
    </row>
    <row r="118" spans="1:11" x14ac:dyDescent="0.3">
      <c r="A118" t="s">
        <v>2223</v>
      </c>
      <c r="B118" t="s">
        <v>2324</v>
      </c>
      <c r="C118" t="s">
        <v>2335</v>
      </c>
      <c r="D118" s="383">
        <v>8177</v>
      </c>
      <c r="E118" s="384">
        <v>1050275893.34</v>
      </c>
      <c r="F118" s="384">
        <v>0</v>
      </c>
      <c r="G118" s="384">
        <v>0</v>
      </c>
      <c r="H118" s="384">
        <v>0</v>
      </c>
      <c r="I118" s="384">
        <v>0</v>
      </c>
      <c r="J118" s="383">
        <v>8028</v>
      </c>
      <c r="K118" s="383">
        <v>8035</v>
      </c>
    </row>
    <row r="119" spans="1:11" x14ac:dyDescent="0.3">
      <c r="A119" t="s">
        <v>2223</v>
      </c>
      <c r="B119" t="s">
        <v>2324</v>
      </c>
      <c r="C119" t="s">
        <v>2336</v>
      </c>
      <c r="D119" s="383">
        <v>13619</v>
      </c>
      <c r="E119" s="384">
        <v>1834402198.53</v>
      </c>
      <c r="F119" s="384">
        <v>0</v>
      </c>
      <c r="G119" s="384">
        <v>0</v>
      </c>
      <c r="H119" s="384">
        <v>0</v>
      </c>
      <c r="I119" s="384">
        <v>0</v>
      </c>
      <c r="J119" s="383">
        <v>13306</v>
      </c>
      <c r="K119" s="383">
        <v>13327</v>
      </c>
    </row>
    <row r="120" spans="1:11" x14ac:dyDescent="0.3">
      <c r="A120" t="s">
        <v>2223</v>
      </c>
      <c r="B120" t="s">
        <v>2324</v>
      </c>
      <c r="C120" t="s">
        <v>2337</v>
      </c>
      <c r="D120" s="383">
        <v>24848</v>
      </c>
      <c r="E120" s="384">
        <v>3310259432.6599998</v>
      </c>
      <c r="F120" s="384">
        <v>0</v>
      </c>
      <c r="G120" s="384">
        <v>0</v>
      </c>
      <c r="H120" s="384">
        <v>0</v>
      </c>
      <c r="I120" s="384">
        <v>0</v>
      </c>
      <c r="J120" s="383">
        <v>24266</v>
      </c>
      <c r="K120" s="383">
        <v>24338</v>
      </c>
    </row>
    <row r="121" spans="1:11" x14ac:dyDescent="0.3">
      <c r="A121" t="s">
        <v>2223</v>
      </c>
      <c r="B121" t="s">
        <v>2324</v>
      </c>
      <c r="C121" t="s">
        <v>2338</v>
      </c>
      <c r="D121" s="383">
        <v>54687</v>
      </c>
      <c r="E121" s="384">
        <v>7415422199.6800003</v>
      </c>
      <c r="F121" s="384">
        <v>0</v>
      </c>
      <c r="G121" s="384">
        <v>0</v>
      </c>
      <c r="H121" s="384">
        <v>0</v>
      </c>
      <c r="I121" s="384">
        <v>0</v>
      </c>
      <c r="J121" s="383">
        <v>53236</v>
      </c>
      <c r="K121" s="383">
        <v>53645</v>
      </c>
    </row>
    <row r="122" spans="1:11" x14ac:dyDescent="0.3">
      <c r="A122" t="s">
        <v>2223</v>
      </c>
      <c r="B122" t="s">
        <v>2324</v>
      </c>
      <c r="C122" t="s">
        <v>2339</v>
      </c>
      <c r="D122" s="383">
        <v>38645</v>
      </c>
      <c r="E122" s="384">
        <v>5579493626.6800003</v>
      </c>
      <c r="F122" s="384">
        <v>0</v>
      </c>
      <c r="G122" s="384">
        <v>0</v>
      </c>
      <c r="H122" s="384">
        <v>0</v>
      </c>
      <c r="I122" s="384">
        <v>0</v>
      </c>
      <c r="J122" s="383">
        <v>37872</v>
      </c>
      <c r="K122" s="383">
        <v>38154</v>
      </c>
    </row>
    <row r="123" spans="1:11" x14ac:dyDescent="0.3">
      <c r="A123" t="s">
        <v>2223</v>
      </c>
      <c r="B123" t="s">
        <v>2324</v>
      </c>
      <c r="C123" t="s">
        <v>2340</v>
      </c>
      <c r="D123" s="383">
        <v>29533</v>
      </c>
      <c r="E123" s="384">
        <v>4202604143.8600001</v>
      </c>
      <c r="F123" s="384">
        <v>0</v>
      </c>
      <c r="G123" s="384">
        <v>0</v>
      </c>
      <c r="H123" s="384">
        <v>0</v>
      </c>
      <c r="I123" s="384">
        <v>0</v>
      </c>
      <c r="J123" s="383">
        <v>29056</v>
      </c>
      <c r="K123" s="383">
        <v>29227</v>
      </c>
    </row>
    <row r="124" spans="1:11" x14ac:dyDescent="0.3">
      <c r="A124" t="s">
        <v>2223</v>
      </c>
      <c r="B124" t="s">
        <v>2324</v>
      </c>
      <c r="C124" t="s">
        <v>2341</v>
      </c>
      <c r="D124" s="383">
        <v>13588</v>
      </c>
      <c r="E124" s="384">
        <v>1858583639.27</v>
      </c>
      <c r="F124" s="384">
        <v>0</v>
      </c>
      <c r="G124" s="384">
        <v>0</v>
      </c>
      <c r="H124" s="384">
        <v>0</v>
      </c>
      <c r="I124" s="384">
        <v>0</v>
      </c>
      <c r="J124" s="383">
        <v>13347</v>
      </c>
      <c r="K124" s="383">
        <v>13454</v>
      </c>
    </row>
    <row r="125" spans="1:11" x14ac:dyDescent="0.3">
      <c r="A125" t="s">
        <v>2223</v>
      </c>
      <c r="B125" t="s">
        <v>2324</v>
      </c>
      <c r="C125" t="s">
        <v>2342</v>
      </c>
      <c r="D125" s="383">
        <v>4963</v>
      </c>
      <c r="E125" s="384">
        <v>650860839.13</v>
      </c>
      <c r="F125" s="384">
        <v>0</v>
      </c>
      <c r="G125" s="384">
        <v>0</v>
      </c>
      <c r="H125" s="384">
        <v>0</v>
      </c>
      <c r="I125" s="384">
        <v>0</v>
      </c>
      <c r="J125" s="383">
        <v>4872</v>
      </c>
      <c r="K125" s="383">
        <v>4919</v>
      </c>
    </row>
    <row r="126" spans="1:11" x14ac:dyDescent="0.3">
      <c r="A126" t="s">
        <v>2223</v>
      </c>
      <c r="B126" t="s">
        <v>2324</v>
      </c>
      <c r="C126" t="s">
        <v>2343</v>
      </c>
      <c r="D126" s="383">
        <v>2407</v>
      </c>
      <c r="E126" s="384">
        <v>296380211.50999999</v>
      </c>
      <c r="F126" s="384">
        <v>0</v>
      </c>
      <c r="G126" s="384">
        <v>0</v>
      </c>
      <c r="H126" s="384">
        <v>0</v>
      </c>
      <c r="I126" s="384">
        <v>0</v>
      </c>
      <c r="J126" s="383">
        <v>2365</v>
      </c>
      <c r="K126" s="383">
        <v>2369</v>
      </c>
    </row>
    <row r="127" spans="1:11" x14ac:dyDescent="0.3">
      <c r="A127" t="s">
        <v>2223</v>
      </c>
      <c r="B127" t="s">
        <v>2324</v>
      </c>
      <c r="C127" t="s">
        <v>2344</v>
      </c>
      <c r="D127" s="383">
        <v>3398</v>
      </c>
      <c r="E127" s="384">
        <v>541157776.25</v>
      </c>
      <c r="F127" s="384">
        <v>0</v>
      </c>
      <c r="G127" s="384">
        <v>0</v>
      </c>
      <c r="H127" s="384">
        <v>0</v>
      </c>
      <c r="I127" s="384">
        <v>0</v>
      </c>
      <c r="J127" s="383">
        <v>3343</v>
      </c>
      <c r="K127" s="383">
        <v>3344</v>
      </c>
    </row>
    <row r="128" spans="1:11" x14ac:dyDescent="0.3">
      <c r="A128" t="s">
        <v>2223</v>
      </c>
      <c r="B128" t="s">
        <v>2324</v>
      </c>
      <c r="C128" t="s">
        <v>2345</v>
      </c>
      <c r="D128" s="383">
        <v>6204</v>
      </c>
      <c r="E128" s="384">
        <v>1075869646.6500001</v>
      </c>
      <c r="F128" s="384">
        <v>0</v>
      </c>
      <c r="G128" s="384">
        <v>0</v>
      </c>
      <c r="H128" s="384">
        <v>0</v>
      </c>
      <c r="I128" s="384">
        <v>0</v>
      </c>
      <c r="J128" s="383">
        <v>6093</v>
      </c>
      <c r="K128" s="383">
        <v>6094</v>
      </c>
    </row>
    <row r="129" spans="1:11" x14ac:dyDescent="0.3">
      <c r="A129" t="s">
        <v>2223</v>
      </c>
      <c r="B129" t="s">
        <v>2324</v>
      </c>
      <c r="C129" t="s">
        <v>2346</v>
      </c>
      <c r="D129" s="383">
        <v>9246</v>
      </c>
      <c r="E129" s="384">
        <v>1626350362.48</v>
      </c>
      <c r="F129" s="384">
        <v>0</v>
      </c>
      <c r="G129" s="384">
        <v>0</v>
      </c>
      <c r="H129" s="384">
        <v>0</v>
      </c>
      <c r="I129" s="384">
        <v>0</v>
      </c>
      <c r="J129" s="383">
        <v>9109</v>
      </c>
      <c r="K129" s="383">
        <v>9113</v>
      </c>
    </row>
    <row r="130" spans="1:11" x14ac:dyDescent="0.3">
      <c r="A130" t="s">
        <v>2223</v>
      </c>
      <c r="B130" t="s">
        <v>2324</v>
      </c>
      <c r="C130" t="s">
        <v>2347</v>
      </c>
      <c r="D130" s="383">
        <v>15993</v>
      </c>
      <c r="E130" s="384">
        <v>2855671000.1599998</v>
      </c>
      <c r="F130" s="384">
        <v>0</v>
      </c>
      <c r="G130" s="384">
        <v>0</v>
      </c>
      <c r="H130" s="384">
        <v>0</v>
      </c>
      <c r="I130" s="384">
        <v>0</v>
      </c>
      <c r="J130" s="383">
        <v>15771</v>
      </c>
      <c r="K130" s="383">
        <v>15786</v>
      </c>
    </row>
    <row r="131" spans="1:11" x14ac:dyDescent="0.3">
      <c r="A131" t="s">
        <v>2223</v>
      </c>
      <c r="B131" t="s">
        <v>2324</v>
      </c>
      <c r="C131" t="s">
        <v>2348</v>
      </c>
      <c r="D131" s="383">
        <v>14505</v>
      </c>
      <c r="E131" s="384">
        <v>2687748159.3800001</v>
      </c>
      <c r="F131" s="384">
        <v>0</v>
      </c>
      <c r="G131" s="384">
        <v>0</v>
      </c>
      <c r="H131" s="384">
        <v>0</v>
      </c>
      <c r="I131" s="384">
        <v>0</v>
      </c>
      <c r="J131" s="383">
        <v>14319</v>
      </c>
      <c r="K131" s="383">
        <v>14332</v>
      </c>
    </row>
    <row r="132" spans="1:11" x14ac:dyDescent="0.3">
      <c r="A132" t="s">
        <v>2223</v>
      </c>
      <c r="B132" t="s">
        <v>2324</v>
      </c>
      <c r="C132" t="s">
        <v>2349</v>
      </c>
      <c r="D132" s="383">
        <v>23532</v>
      </c>
      <c r="E132" s="384">
        <v>4283956320.6100001</v>
      </c>
      <c r="F132" s="384">
        <v>0</v>
      </c>
      <c r="G132" s="384">
        <v>0</v>
      </c>
      <c r="H132" s="384">
        <v>0</v>
      </c>
      <c r="I132" s="384">
        <v>0</v>
      </c>
      <c r="J132" s="383">
        <v>23240</v>
      </c>
      <c r="K132" s="383">
        <v>23296</v>
      </c>
    </row>
    <row r="133" spans="1:11" x14ac:dyDescent="0.3">
      <c r="A133" t="s">
        <v>2223</v>
      </c>
      <c r="B133" t="s">
        <v>2324</v>
      </c>
      <c r="C133" t="s">
        <v>2350</v>
      </c>
      <c r="D133" s="383">
        <v>20086</v>
      </c>
      <c r="E133" s="384">
        <v>3551468592.02</v>
      </c>
      <c r="F133" s="384">
        <v>0</v>
      </c>
      <c r="G133" s="384">
        <v>0</v>
      </c>
      <c r="H133" s="384">
        <v>0</v>
      </c>
      <c r="I133" s="384">
        <v>0</v>
      </c>
      <c r="J133" s="383">
        <v>19836</v>
      </c>
      <c r="K133" s="383">
        <v>19882</v>
      </c>
    </row>
    <row r="134" spans="1:11" x14ac:dyDescent="0.3">
      <c r="A134" t="s">
        <v>2223</v>
      </c>
      <c r="B134" t="s">
        <v>2324</v>
      </c>
      <c r="C134" t="s">
        <v>2351</v>
      </c>
      <c r="D134" s="383">
        <v>11344</v>
      </c>
      <c r="E134" s="384">
        <v>2004793730.71</v>
      </c>
      <c r="F134" s="384">
        <v>0</v>
      </c>
      <c r="G134" s="384">
        <v>0</v>
      </c>
      <c r="H134" s="384">
        <v>0</v>
      </c>
      <c r="I134" s="384">
        <v>0</v>
      </c>
      <c r="J134" s="383">
        <v>11193</v>
      </c>
      <c r="K134" s="383">
        <v>11226</v>
      </c>
    </row>
    <row r="135" spans="1:11" x14ac:dyDescent="0.3">
      <c r="A135" t="s">
        <v>2223</v>
      </c>
      <c r="B135" t="s">
        <v>2324</v>
      </c>
      <c r="C135" t="s">
        <v>2352</v>
      </c>
      <c r="D135" s="383">
        <v>76540</v>
      </c>
      <c r="E135" s="384">
        <v>3845822168.8499999</v>
      </c>
      <c r="F135" s="384">
        <v>0</v>
      </c>
      <c r="G135" s="384">
        <v>0</v>
      </c>
      <c r="H135" s="384">
        <v>0</v>
      </c>
      <c r="I135" s="384">
        <v>0</v>
      </c>
      <c r="J135" s="383">
        <v>73560</v>
      </c>
      <c r="K135" s="383">
        <v>74208</v>
      </c>
    </row>
    <row r="136" spans="1:11" x14ac:dyDescent="0.3">
      <c r="A136" t="s">
        <v>2223</v>
      </c>
      <c r="B136" t="s">
        <v>2324</v>
      </c>
      <c r="C136" t="s">
        <v>2353</v>
      </c>
      <c r="D136" s="383">
        <v>52922</v>
      </c>
      <c r="E136" s="384">
        <v>3216716121.6999998</v>
      </c>
      <c r="F136" s="384">
        <v>0</v>
      </c>
      <c r="G136" s="384">
        <v>0</v>
      </c>
      <c r="H136" s="384">
        <v>0</v>
      </c>
      <c r="I136" s="384">
        <v>0</v>
      </c>
      <c r="J136" s="383">
        <v>50565</v>
      </c>
      <c r="K136" s="383">
        <v>51361</v>
      </c>
    </row>
    <row r="137" spans="1:11" x14ac:dyDescent="0.3">
      <c r="A137" t="s">
        <v>2223</v>
      </c>
      <c r="B137" t="s">
        <v>2324</v>
      </c>
      <c r="C137" t="s">
        <v>2354</v>
      </c>
      <c r="D137" s="383">
        <v>48320</v>
      </c>
      <c r="E137" s="384">
        <v>3166480116.9499998</v>
      </c>
      <c r="F137" s="384">
        <v>0</v>
      </c>
      <c r="G137" s="384">
        <v>0</v>
      </c>
      <c r="H137" s="384">
        <v>0</v>
      </c>
      <c r="I137" s="384">
        <v>0</v>
      </c>
      <c r="J137" s="383">
        <v>46418</v>
      </c>
      <c r="K137" s="383">
        <v>47167</v>
      </c>
    </row>
    <row r="138" spans="1:11" x14ac:dyDescent="0.3">
      <c r="A138" t="s">
        <v>2223</v>
      </c>
      <c r="B138" t="s">
        <v>2324</v>
      </c>
      <c r="C138" t="s">
        <v>2355</v>
      </c>
      <c r="D138" s="383">
        <v>30297</v>
      </c>
      <c r="E138" s="384">
        <v>1903707948.73</v>
      </c>
      <c r="F138" s="384">
        <v>0</v>
      </c>
      <c r="G138" s="384">
        <v>0</v>
      </c>
      <c r="H138" s="384">
        <v>0</v>
      </c>
      <c r="I138" s="384">
        <v>0</v>
      </c>
      <c r="J138" s="383">
        <v>29319</v>
      </c>
      <c r="K138" s="383">
        <v>29781</v>
      </c>
    </row>
    <row r="139" spans="1:11" x14ac:dyDescent="0.3">
      <c r="A139" t="s">
        <v>2223</v>
      </c>
      <c r="B139" t="s">
        <v>2324</v>
      </c>
      <c r="C139" t="s">
        <v>2356</v>
      </c>
      <c r="D139" s="383">
        <v>18019</v>
      </c>
      <c r="E139" s="384">
        <v>965723344.83000004</v>
      </c>
      <c r="F139" s="384">
        <v>0</v>
      </c>
      <c r="G139" s="384">
        <v>0</v>
      </c>
      <c r="H139" s="384">
        <v>0</v>
      </c>
      <c r="I139" s="384">
        <v>0</v>
      </c>
      <c r="J139" s="383">
        <v>17541</v>
      </c>
      <c r="K139" s="383">
        <v>17630</v>
      </c>
    </row>
    <row r="140" spans="1:11" x14ac:dyDescent="0.3">
      <c r="A140" t="s">
        <v>2223</v>
      </c>
      <c r="B140" t="s">
        <v>2324</v>
      </c>
      <c r="C140" t="s">
        <v>2357</v>
      </c>
      <c r="D140" s="383">
        <v>6421</v>
      </c>
      <c r="E140" s="384">
        <v>346266432.88</v>
      </c>
      <c r="F140" s="384">
        <v>0</v>
      </c>
      <c r="G140" s="384">
        <v>0</v>
      </c>
      <c r="H140" s="384">
        <v>0</v>
      </c>
      <c r="I140" s="384">
        <v>0</v>
      </c>
      <c r="J140" s="383">
        <v>6323</v>
      </c>
      <c r="K140" s="383">
        <v>6328</v>
      </c>
    </row>
    <row r="141" spans="1:11" x14ac:dyDescent="0.3">
      <c r="A141" t="s">
        <v>2223</v>
      </c>
      <c r="B141" t="s">
        <v>2324</v>
      </c>
      <c r="C141" t="s">
        <v>2358</v>
      </c>
      <c r="D141" s="383">
        <v>4365</v>
      </c>
      <c r="E141" s="384">
        <v>249678536.06</v>
      </c>
      <c r="F141" s="384">
        <v>0</v>
      </c>
      <c r="G141" s="384">
        <v>0</v>
      </c>
      <c r="H141" s="384">
        <v>0</v>
      </c>
      <c r="I141" s="384">
        <v>0</v>
      </c>
      <c r="J141" s="383">
        <v>4320</v>
      </c>
      <c r="K141" s="383">
        <v>4325</v>
      </c>
    </row>
    <row r="142" spans="1:11" x14ac:dyDescent="0.3">
      <c r="A142" t="s">
        <v>2223</v>
      </c>
      <c r="B142" t="s">
        <v>2324</v>
      </c>
      <c r="C142" t="s">
        <v>2359</v>
      </c>
      <c r="D142" s="383">
        <v>1448</v>
      </c>
      <c r="E142" s="384">
        <v>111363815.73</v>
      </c>
      <c r="F142" s="384">
        <v>0</v>
      </c>
      <c r="G142" s="384">
        <v>0</v>
      </c>
      <c r="H142" s="384">
        <v>0</v>
      </c>
      <c r="I142" s="384">
        <v>0</v>
      </c>
      <c r="J142" s="383">
        <v>1445</v>
      </c>
      <c r="K142" s="383">
        <v>1446</v>
      </c>
    </row>
    <row r="143" spans="1:11" x14ac:dyDescent="0.3">
      <c r="A143" t="s">
        <v>2223</v>
      </c>
      <c r="B143" t="s">
        <v>2324</v>
      </c>
      <c r="C143" t="s">
        <v>2360</v>
      </c>
      <c r="D143" s="383">
        <v>335</v>
      </c>
      <c r="E143" s="384">
        <v>31569122.879999999</v>
      </c>
      <c r="F143" s="384">
        <v>0</v>
      </c>
      <c r="G143" s="384">
        <v>0</v>
      </c>
      <c r="H143" s="384">
        <v>0</v>
      </c>
      <c r="I143" s="384">
        <v>0</v>
      </c>
      <c r="J143" s="383">
        <v>335</v>
      </c>
      <c r="K143" s="383">
        <v>335</v>
      </c>
    </row>
    <row r="144" spans="1:11" x14ac:dyDescent="0.3">
      <c r="A144" t="s">
        <v>2223</v>
      </c>
      <c r="B144" t="s">
        <v>2324</v>
      </c>
      <c r="C144" t="s">
        <v>2361</v>
      </c>
      <c r="D144" s="383">
        <v>152702</v>
      </c>
      <c r="E144" s="384">
        <v>3185010813.4299998</v>
      </c>
      <c r="F144" s="384">
        <v>0</v>
      </c>
      <c r="G144" s="384">
        <v>0</v>
      </c>
      <c r="H144" s="384">
        <v>0</v>
      </c>
      <c r="I144" s="384">
        <v>0</v>
      </c>
      <c r="J144" s="383">
        <v>143000</v>
      </c>
      <c r="K144" s="383">
        <v>146555</v>
      </c>
    </row>
    <row r="145" spans="1:11" x14ac:dyDescent="0.3">
      <c r="A145" t="s">
        <v>2223</v>
      </c>
      <c r="B145" t="s">
        <v>2324</v>
      </c>
      <c r="C145" t="s">
        <v>2362</v>
      </c>
      <c r="D145" s="383">
        <v>13692</v>
      </c>
      <c r="E145" s="384">
        <v>325876295.95999998</v>
      </c>
      <c r="F145" s="384">
        <v>0</v>
      </c>
      <c r="G145" s="384">
        <v>0</v>
      </c>
      <c r="H145" s="384">
        <v>0</v>
      </c>
      <c r="I145" s="384">
        <v>0</v>
      </c>
      <c r="J145" s="383">
        <v>13338</v>
      </c>
      <c r="K145" s="383">
        <v>13424</v>
      </c>
    </row>
    <row r="146" spans="1:11" x14ac:dyDescent="0.3">
      <c r="A146" t="s">
        <v>2223</v>
      </c>
      <c r="B146" t="s">
        <v>2324</v>
      </c>
      <c r="C146" t="s">
        <v>2363</v>
      </c>
      <c r="D146" s="383">
        <v>10774</v>
      </c>
      <c r="E146" s="384">
        <v>180321069.56999999</v>
      </c>
      <c r="F146" s="384">
        <v>0</v>
      </c>
      <c r="G146" s="384">
        <v>0</v>
      </c>
      <c r="H146" s="384">
        <v>0</v>
      </c>
      <c r="I146" s="384">
        <v>0</v>
      </c>
      <c r="J146" s="383">
        <v>10479</v>
      </c>
      <c r="K146" s="383">
        <v>10542</v>
      </c>
    </row>
    <row r="147" spans="1:11" x14ac:dyDescent="0.3">
      <c r="A147" t="s">
        <v>2223</v>
      </c>
      <c r="B147" t="s">
        <v>2324</v>
      </c>
      <c r="C147" t="s">
        <v>2364</v>
      </c>
      <c r="D147" s="383">
        <v>9687</v>
      </c>
      <c r="E147" s="384">
        <v>158700282.18000001</v>
      </c>
      <c r="F147" s="384">
        <v>0</v>
      </c>
      <c r="G147" s="384">
        <v>0</v>
      </c>
      <c r="H147" s="384">
        <v>0</v>
      </c>
      <c r="I147" s="384">
        <v>0</v>
      </c>
      <c r="J147" s="383">
        <v>9471</v>
      </c>
      <c r="K147" s="383">
        <v>9505</v>
      </c>
    </row>
    <row r="148" spans="1:11" x14ac:dyDescent="0.3">
      <c r="A148" t="s">
        <v>2223</v>
      </c>
      <c r="B148" t="s">
        <v>2324</v>
      </c>
      <c r="C148" t="s">
        <v>2365</v>
      </c>
      <c r="D148" s="383">
        <v>5738</v>
      </c>
      <c r="E148" s="384">
        <v>110788157.01000001</v>
      </c>
      <c r="F148" s="384">
        <v>0</v>
      </c>
      <c r="G148" s="384">
        <v>0</v>
      </c>
      <c r="H148" s="384">
        <v>0</v>
      </c>
      <c r="I148" s="384">
        <v>0</v>
      </c>
      <c r="J148" s="383">
        <v>5675</v>
      </c>
      <c r="K148" s="383">
        <v>5701</v>
      </c>
    </row>
    <row r="149" spans="1:11" x14ac:dyDescent="0.3">
      <c r="A149" t="s">
        <v>2223</v>
      </c>
      <c r="B149" t="s">
        <v>2324</v>
      </c>
      <c r="C149" t="s">
        <v>2366</v>
      </c>
      <c r="D149" s="383">
        <v>1121</v>
      </c>
      <c r="E149" s="384">
        <v>24801602.91</v>
      </c>
      <c r="F149" s="384">
        <v>0</v>
      </c>
      <c r="G149" s="384">
        <v>0</v>
      </c>
      <c r="H149" s="384">
        <v>0</v>
      </c>
      <c r="I149" s="384">
        <v>0</v>
      </c>
      <c r="J149" s="383">
        <v>1116</v>
      </c>
      <c r="K149" s="383">
        <v>1120</v>
      </c>
    </row>
    <row r="150" spans="1:11" x14ac:dyDescent="0.3">
      <c r="A150" t="s">
        <v>2223</v>
      </c>
      <c r="B150" t="s">
        <v>2324</v>
      </c>
      <c r="C150" t="s">
        <v>2367</v>
      </c>
      <c r="D150" s="383">
        <v>418</v>
      </c>
      <c r="E150" s="384">
        <v>10196990.98</v>
      </c>
      <c r="F150" s="384">
        <v>0</v>
      </c>
      <c r="G150" s="384">
        <v>0</v>
      </c>
      <c r="H150" s="384">
        <v>0</v>
      </c>
      <c r="I150" s="384">
        <v>0</v>
      </c>
      <c r="J150" s="383">
        <v>418</v>
      </c>
      <c r="K150" s="383">
        <v>418</v>
      </c>
    </row>
    <row r="151" spans="1:11" x14ac:dyDescent="0.3">
      <c r="A151" t="s">
        <v>2223</v>
      </c>
      <c r="B151" t="s">
        <v>2324</v>
      </c>
      <c r="C151" t="s">
        <v>2368</v>
      </c>
      <c r="D151" s="383">
        <v>81</v>
      </c>
      <c r="E151" s="384">
        <v>2788327.64</v>
      </c>
      <c r="F151" s="384">
        <v>0</v>
      </c>
      <c r="G151" s="384">
        <v>0</v>
      </c>
      <c r="H151" s="384">
        <v>0</v>
      </c>
      <c r="I151" s="384">
        <v>0</v>
      </c>
      <c r="J151" s="383">
        <v>81</v>
      </c>
      <c r="K151" s="383">
        <v>81</v>
      </c>
    </row>
    <row r="152" spans="1:11" x14ac:dyDescent="0.3">
      <c r="A152" t="s">
        <v>2223</v>
      </c>
      <c r="B152" t="s">
        <v>2324</v>
      </c>
      <c r="C152" t="s">
        <v>2369</v>
      </c>
      <c r="D152" s="383">
        <v>12</v>
      </c>
      <c r="E152" s="384">
        <v>487231.86</v>
      </c>
      <c r="F152" s="384">
        <v>0</v>
      </c>
      <c r="G152" s="384">
        <v>0</v>
      </c>
      <c r="H152" s="384">
        <v>0</v>
      </c>
      <c r="I152" s="384">
        <v>0</v>
      </c>
      <c r="J152" s="383">
        <v>12</v>
      </c>
      <c r="K152" s="383">
        <v>12</v>
      </c>
    </row>
    <row r="153" spans="1:11" x14ac:dyDescent="0.3">
      <c r="A153" t="s">
        <v>2223</v>
      </c>
      <c r="B153" t="s">
        <v>2370</v>
      </c>
      <c r="C153" t="s">
        <v>2371</v>
      </c>
      <c r="D153" s="383">
        <v>1</v>
      </c>
      <c r="E153" s="384">
        <v>9979.59</v>
      </c>
      <c r="F153" s="384">
        <v>0</v>
      </c>
      <c r="G153" s="384">
        <v>0</v>
      </c>
      <c r="H153" s="384">
        <v>0</v>
      </c>
      <c r="I153" s="384">
        <v>0</v>
      </c>
      <c r="J153" s="383">
        <v>1</v>
      </c>
      <c r="K153" s="383">
        <v>1</v>
      </c>
    </row>
    <row r="154" spans="1:11" x14ac:dyDescent="0.3">
      <c r="A154" t="s">
        <v>2223</v>
      </c>
      <c r="B154" t="s">
        <v>2370</v>
      </c>
      <c r="C154" t="s">
        <v>2372</v>
      </c>
      <c r="D154" s="383">
        <v>58006</v>
      </c>
      <c r="E154" s="384">
        <v>1979232965.3699999</v>
      </c>
      <c r="F154" s="384">
        <v>0</v>
      </c>
      <c r="G154" s="384">
        <v>0</v>
      </c>
      <c r="H154" s="384">
        <v>0</v>
      </c>
      <c r="I154" s="384">
        <v>0</v>
      </c>
      <c r="J154" s="383">
        <v>53809</v>
      </c>
      <c r="K154" s="383">
        <v>54868</v>
      </c>
    </row>
    <row r="155" spans="1:11" x14ac:dyDescent="0.3">
      <c r="A155" t="s">
        <v>2223</v>
      </c>
      <c r="B155" t="s">
        <v>2370</v>
      </c>
      <c r="C155" t="s">
        <v>2373</v>
      </c>
      <c r="D155" s="383">
        <v>20244</v>
      </c>
      <c r="E155" s="384">
        <v>1227003571.45</v>
      </c>
      <c r="F155" s="384">
        <v>0</v>
      </c>
      <c r="G155" s="384">
        <v>0</v>
      </c>
      <c r="H155" s="384">
        <v>0</v>
      </c>
      <c r="I155" s="384">
        <v>0</v>
      </c>
      <c r="J155" s="383">
        <v>17677</v>
      </c>
      <c r="K155" s="383">
        <v>17858</v>
      </c>
    </row>
    <row r="156" spans="1:11" x14ac:dyDescent="0.3">
      <c r="A156" t="s">
        <v>2223</v>
      </c>
      <c r="B156" t="s">
        <v>2370</v>
      </c>
      <c r="C156" t="s">
        <v>2374</v>
      </c>
      <c r="D156" s="383">
        <v>26148</v>
      </c>
      <c r="E156" s="384">
        <v>1756386651.29</v>
      </c>
      <c r="F156" s="384">
        <v>0</v>
      </c>
      <c r="G156" s="384">
        <v>0</v>
      </c>
      <c r="H156" s="384">
        <v>0</v>
      </c>
      <c r="I156" s="384">
        <v>0</v>
      </c>
      <c r="J156" s="383">
        <v>22037</v>
      </c>
      <c r="K156" s="383">
        <v>22271</v>
      </c>
    </row>
    <row r="157" spans="1:11" x14ac:dyDescent="0.3">
      <c r="A157" t="s">
        <v>2223</v>
      </c>
      <c r="B157" t="s">
        <v>2370</v>
      </c>
      <c r="C157" t="s">
        <v>2375</v>
      </c>
      <c r="D157" s="383">
        <v>20319</v>
      </c>
      <c r="E157" s="384">
        <v>1387947261.1900001</v>
      </c>
      <c r="F157" s="384">
        <v>0</v>
      </c>
      <c r="G157" s="384">
        <v>0</v>
      </c>
      <c r="H157" s="384">
        <v>0</v>
      </c>
      <c r="I157" s="384">
        <v>0</v>
      </c>
      <c r="J157" s="383">
        <v>15840</v>
      </c>
      <c r="K157" s="383">
        <v>15919</v>
      </c>
    </row>
    <row r="158" spans="1:11" x14ac:dyDescent="0.3">
      <c r="A158" t="s">
        <v>2223</v>
      </c>
      <c r="B158" t="s">
        <v>2370</v>
      </c>
      <c r="C158" t="s">
        <v>2376</v>
      </c>
      <c r="D158" s="383">
        <v>7219</v>
      </c>
      <c r="E158" s="384">
        <v>541111049.21000004</v>
      </c>
      <c r="F158" s="384">
        <v>0</v>
      </c>
      <c r="G158" s="384">
        <v>0</v>
      </c>
      <c r="H158" s="384">
        <v>0</v>
      </c>
      <c r="I158" s="384">
        <v>0</v>
      </c>
      <c r="J158" s="383">
        <v>5765</v>
      </c>
      <c r="K158" s="383">
        <v>5775</v>
      </c>
    </row>
    <row r="159" spans="1:11" x14ac:dyDescent="0.3">
      <c r="A159" t="s">
        <v>2223</v>
      </c>
      <c r="B159" t="s">
        <v>2370</v>
      </c>
      <c r="C159" t="s">
        <v>2377</v>
      </c>
      <c r="D159" s="383">
        <v>355</v>
      </c>
      <c r="E159" s="384">
        <v>31666257.77</v>
      </c>
      <c r="F159" s="384">
        <v>0</v>
      </c>
      <c r="G159" s="384">
        <v>0</v>
      </c>
      <c r="H159" s="384">
        <v>0</v>
      </c>
      <c r="I159" s="384">
        <v>0</v>
      </c>
      <c r="J159" s="383">
        <v>312</v>
      </c>
      <c r="K159" s="383">
        <v>312</v>
      </c>
    </row>
    <row r="160" spans="1:11" x14ac:dyDescent="0.3">
      <c r="A160" t="s">
        <v>2223</v>
      </c>
      <c r="B160" t="s">
        <v>2370</v>
      </c>
      <c r="C160" t="s">
        <v>2378</v>
      </c>
      <c r="D160" s="383">
        <v>121</v>
      </c>
      <c r="E160" s="384">
        <v>11549066.880000001</v>
      </c>
      <c r="F160" s="384">
        <v>0</v>
      </c>
      <c r="G160" s="384">
        <v>0</v>
      </c>
      <c r="H160" s="384">
        <v>0</v>
      </c>
      <c r="I160" s="384">
        <v>0</v>
      </c>
      <c r="J160" s="383">
        <v>112</v>
      </c>
      <c r="K160" s="383">
        <v>112</v>
      </c>
    </row>
    <row r="161" spans="1:11" x14ac:dyDescent="0.3">
      <c r="A161" t="s">
        <v>2223</v>
      </c>
      <c r="B161" t="s">
        <v>2370</v>
      </c>
      <c r="C161" t="s">
        <v>2379</v>
      </c>
      <c r="D161" s="383">
        <v>47</v>
      </c>
      <c r="E161" s="384">
        <v>5009840.8899999997</v>
      </c>
      <c r="F161" s="384">
        <v>0</v>
      </c>
      <c r="G161" s="384">
        <v>0</v>
      </c>
      <c r="H161" s="384">
        <v>0</v>
      </c>
      <c r="I161" s="384">
        <v>0</v>
      </c>
      <c r="J161" s="383">
        <v>45</v>
      </c>
      <c r="K161" s="383">
        <v>45</v>
      </c>
    </row>
    <row r="162" spans="1:11" x14ac:dyDescent="0.3">
      <c r="A162" t="s">
        <v>2223</v>
      </c>
      <c r="B162" t="s">
        <v>2370</v>
      </c>
      <c r="C162" t="s">
        <v>2380</v>
      </c>
      <c r="D162" s="383">
        <v>8</v>
      </c>
      <c r="E162" s="384">
        <v>990161.01</v>
      </c>
      <c r="F162" s="384">
        <v>0</v>
      </c>
      <c r="G162" s="384">
        <v>0</v>
      </c>
      <c r="H162" s="384">
        <v>0</v>
      </c>
      <c r="I162" s="384">
        <v>0</v>
      </c>
      <c r="J162" s="383">
        <v>8</v>
      </c>
      <c r="K162" s="383">
        <v>8</v>
      </c>
    </row>
    <row r="163" spans="1:11" x14ac:dyDescent="0.3">
      <c r="A163" t="s">
        <v>2223</v>
      </c>
      <c r="B163" t="s">
        <v>2370</v>
      </c>
      <c r="C163" t="s">
        <v>2381</v>
      </c>
      <c r="D163" s="383">
        <v>66196</v>
      </c>
      <c r="E163" s="384">
        <v>2649938679.5799999</v>
      </c>
      <c r="F163" s="384">
        <v>0</v>
      </c>
      <c r="G163" s="384">
        <v>0</v>
      </c>
      <c r="H163" s="384">
        <v>0</v>
      </c>
      <c r="I163" s="384">
        <v>0</v>
      </c>
      <c r="J163" s="383">
        <v>62046</v>
      </c>
      <c r="K163" s="383">
        <v>63163</v>
      </c>
    </row>
    <row r="164" spans="1:11" x14ac:dyDescent="0.3">
      <c r="A164" t="s">
        <v>2223</v>
      </c>
      <c r="B164" t="s">
        <v>2370</v>
      </c>
      <c r="C164" t="s">
        <v>2382</v>
      </c>
      <c r="D164" s="383">
        <v>32712</v>
      </c>
      <c r="E164" s="384">
        <v>2208212751.5900002</v>
      </c>
      <c r="F164" s="384">
        <v>0</v>
      </c>
      <c r="G164" s="384">
        <v>0</v>
      </c>
      <c r="H164" s="384">
        <v>0</v>
      </c>
      <c r="I164" s="384">
        <v>0</v>
      </c>
      <c r="J164" s="383">
        <v>29233</v>
      </c>
      <c r="K164" s="383">
        <v>29664</v>
      </c>
    </row>
    <row r="165" spans="1:11" x14ac:dyDescent="0.3">
      <c r="A165" t="s">
        <v>2223</v>
      </c>
      <c r="B165" t="s">
        <v>2370</v>
      </c>
      <c r="C165" t="s">
        <v>2383</v>
      </c>
      <c r="D165" s="383">
        <v>43260</v>
      </c>
      <c r="E165" s="384">
        <v>3396322249.5100002</v>
      </c>
      <c r="F165" s="384">
        <v>0</v>
      </c>
      <c r="G165" s="384">
        <v>0</v>
      </c>
      <c r="H165" s="384">
        <v>0</v>
      </c>
      <c r="I165" s="384">
        <v>0</v>
      </c>
      <c r="J165" s="383">
        <v>37375</v>
      </c>
      <c r="K165" s="383">
        <v>37953</v>
      </c>
    </row>
    <row r="166" spans="1:11" x14ac:dyDescent="0.3">
      <c r="A166" t="s">
        <v>2223</v>
      </c>
      <c r="B166" t="s">
        <v>2370</v>
      </c>
      <c r="C166" t="s">
        <v>2384</v>
      </c>
      <c r="D166" s="383">
        <v>57533</v>
      </c>
      <c r="E166" s="384">
        <v>5015110225.4499998</v>
      </c>
      <c r="F166" s="384">
        <v>0</v>
      </c>
      <c r="G166" s="384">
        <v>0</v>
      </c>
      <c r="H166" s="384">
        <v>0</v>
      </c>
      <c r="I166" s="384">
        <v>0</v>
      </c>
      <c r="J166" s="383">
        <v>47802</v>
      </c>
      <c r="K166" s="383">
        <v>48666</v>
      </c>
    </row>
    <row r="167" spans="1:11" x14ac:dyDescent="0.3">
      <c r="A167" t="s">
        <v>2223</v>
      </c>
      <c r="B167" t="s">
        <v>2370</v>
      </c>
      <c r="C167" t="s">
        <v>2385</v>
      </c>
      <c r="D167" s="383">
        <v>63341</v>
      </c>
      <c r="E167" s="384">
        <v>6031572595.8599997</v>
      </c>
      <c r="F167" s="384">
        <v>0</v>
      </c>
      <c r="G167" s="384">
        <v>0</v>
      </c>
      <c r="H167" s="384">
        <v>0</v>
      </c>
      <c r="I167" s="384">
        <v>0</v>
      </c>
      <c r="J167" s="383">
        <v>50740</v>
      </c>
      <c r="K167" s="383">
        <v>51334</v>
      </c>
    </row>
    <row r="168" spans="1:11" x14ac:dyDescent="0.3">
      <c r="A168" t="s">
        <v>2223</v>
      </c>
      <c r="B168" t="s">
        <v>2370</v>
      </c>
      <c r="C168" t="s">
        <v>2386</v>
      </c>
      <c r="D168" s="383">
        <v>17370</v>
      </c>
      <c r="E168" s="384">
        <v>1836880308.8800001</v>
      </c>
      <c r="F168" s="384">
        <v>0</v>
      </c>
      <c r="G168" s="384">
        <v>0</v>
      </c>
      <c r="H168" s="384">
        <v>0</v>
      </c>
      <c r="I168" s="384">
        <v>0</v>
      </c>
      <c r="J168" s="383">
        <v>14675</v>
      </c>
      <c r="K168" s="383">
        <v>14733</v>
      </c>
    </row>
    <row r="169" spans="1:11" x14ac:dyDescent="0.3">
      <c r="A169" t="s">
        <v>2223</v>
      </c>
      <c r="B169" t="s">
        <v>2370</v>
      </c>
      <c r="C169" t="s">
        <v>2387</v>
      </c>
      <c r="D169" s="383">
        <v>6412</v>
      </c>
      <c r="E169" s="384">
        <v>733557122.84000003</v>
      </c>
      <c r="F169" s="384">
        <v>0</v>
      </c>
      <c r="G169" s="384">
        <v>0</v>
      </c>
      <c r="H169" s="384">
        <v>0</v>
      </c>
      <c r="I169" s="384">
        <v>0</v>
      </c>
      <c r="J169" s="383">
        <v>5713</v>
      </c>
      <c r="K169" s="383">
        <v>5726</v>
      </c>
    </row>
    <row r="170" spans="1:11" x14ac:dyDescent="0.3">
      <c r="A170" t="s">
        <v>2223</v>
      </c>
      <c r="B170" t="s">
        <v>2370</v>
      </c>
      <c r="C170" t="s">
        <v>2388</v>
      </c>
      <c r="D170" s="383">
        <v>1295</v>
      </c>
      <c r="E170" s="384">
        <v>162576452.18000001</v>
      </c>
      <c r="F170" s="384">
        <v>0</v>
      </c>
      <c r="G170" s="384">
        <v>0</v>
      </c>
      <c r="H170" s="384">
        <v>0</v>
      </c>
      <c r="I170" s="384">
        <v>0</v>
      </c>
      <c r="J170" s="383">
        <v>1190</v>
      </c>
      <c r="K170" s="383">
        <v>1195</v>
      </c>
    </row>
    <row r="171" spans="1:11" x14ac:dyDescent="0.3">
      <c r="A171" t="s">
        <v>2223</v>
      </c>
      <c r="B171" t="s">
        <v>2370</v>
      </c>
      <c r="C171" t="s">
        <v>2389</v>
      </c>
      <c r="D171" s="383">
        <v>170</v>
      </c>
      <c r="E171" s="384">
        <v>20557365.530000001</v>
      </c>
      <c r="F171" s="384">
        <v>0</v>
      </c>
      <c r="G171" s="384">
        <v>0</v>
      </c>
      <c r="H171" s="384">
        <v>0</v>
      </c>
      <c r="I171" s="384">
        <v>0</v>
      </c>
      <c r="J171" s="383">
        <v>163</v>
      </c>
      <c r="K171" s="383">
        <v>164</v>
      </c>
    </row>
    <row r="172" spans="1:11" x14ac:dyDescent="0.3">
      <c r="A172" t="s">
        <v>2223</v>
      </c>
      <c r="B172" t="s">
        <v>2370</v>
      </c>
      <c r="C172" t="s">
        <v>2390</v>
      </c>
      <c r="D172" s="383">
        <v>37007</v>
      </c>
      <c r="E172" s="384">
        <v>2337874698.71</v>
      </c>
      <c r="F172" s="384">
        <v>0</v>
      </c>
      <c r="G172" s="384">
        <v>0</v>
      </c>
      <c r="H172" s="384">
        <v>0</v>
      </c>
      <c r="I172" s="384">
        <v>0</v>
      </c>
      <c r="J172" s="383">
        <v>36191</v>
      </c>
      <c r="K172" s="383">
        <v>36416</v>
      </c>
    </row>
    <row r="173" spans="1:11" x14ac:dyDescent="0.3">
      <c r="A173" t="s">
        <v>2223</v>
      </c>
      <c r="B173" t="s">
        <v>2370</v>
      </c>
      <c r="C173" t="s">
        <v>2391</v>
      </c>
      <c r="D173" s="383">
        <v>20980</v>
      </c>
      <c r="E173" s="384">
        <v>2042380335.79</v>
      </c>
      <c r="F173" s="384">
        <v>0</v>
      </c>
      <c r="G173" s="384">
        <v>0</v>
      </c>
      <c r="H173" s="384">
        <v>0</v>
      </c>
      <c r="I173" s="384">
        <v>0</v>
      </c>
      <c r="J173" s="383">
        <v>20095</v>
      </c>
      <c r="K173" s="383">
        <v>20214</v>
      </c>
    </row>
    <row r="174" spans="1:11" x14ac:dyDescent="0.3">
      <c r="A174" t="s">
        <v>2223</v>
      </c>
      <c r="B174" t="s">
        <v>2370</v>
      </c>
      <c r="C174" t="s">
        <v>2392</v>
      </c>
      <c r="D174" s="383">
        <v>28034</v>
      </c>
      <c r="E174" s="384">
        <v>3054206701.23</v>
      </c>
      <c r="F174" s="384">
        <v>0</v>
      </c>
      <c r="G174" s="384">
        <v>0</v>
      </c>
      <c r="H174" s="384">
        <v>0</v>
      </c>
      <c r="I174" s="384">
        <v>0</v>
      </c>
      <c r="J174" s="383">
        <v>26588</v>
      </c>
      <c r="K174" s="383">
        <v>26761</v>
      </c>
    </row>
    <row r="175" spans="1:11" x14ac:dyDescent="0.3">
      <c r="A175" t="s">
        <v>2223</v>
      </c>
      <c r="B175" t="s">
        <v>2370</v>
      </c>
      <c r="C175" t="s">
        <v>2393</v>
      </c>
      <c r="D175" s="383">
        <v>41320</v>
      </c>
      <c r="E175" s="384">
        <v>4703077392.8999996</v>
      </c>
      <c r="F175" s="384">
        <v>0</v>
      </c>
      <c r="G175" s="384">
        <v>0</v>
      </c>
      <c r="H175" s="384">
        <v>0</v>
      </c>
      <c r="I175" s="384">
        <v>0</v>
      </c>
      <c r="J175" s="383">
        <v>38888</v>
      </c>
      <c r="K175" s="383">
        <v>39373</v>
      </c>
    </row>
    <row r="176" spans="1:11" x14ac:dyDescent="0.3">
      <c r="A176" t="s">
        <v>2223</v>
      </c>
      <c r="B176" t="s">
        <v>2370</v>
      </c>
      <c r="C176" t="s">
        <v>2394</v>
      </c>
      <c r="D176" s="383">
        <v>67582</v>
      </c>
      <c r="E176" s="384">
        <v>8614491870.3700008</v>
      </c>
      <c r="F176" s="384">
        <v>0</v>
      </c>
      <c r="G176" s="384">
        <v>0</v>
      </c>
      <c r="H176" s="384">
        <v>0</v>
      </c>
      <c r="I176" s="384">
        <v>0</v>
      </c>
      <c r="J176" s="383">
        <v>62415</v>
      </c>
      <c r="K176" s="383">
        <v>63514</v>
      </c>
    </row>
    <row r="177" spans="1:11" x14ac:dyDescent="0.3">
      <c r="A177" t="s">
        <v>2223</v>
      </c>
      <c r="B177" t="s">
        <v>2370</v>
      </c>
      <c r="C177" t="s">
        <v>2395</v>
      </c>
      <c r="D177" s="383">
        <v>48864</v>
      </c>
      <c r="E177" s="384">
        <v>6829840470.7799997</v>
      </c>
      <c r="F177" s="384">
        <v>0</v>
      </c>
      <c r="G177" s="384">
        <v>0</v>
      </c>
      <c r="H177" s="384">
        <v>0</v>
      </c>
      <c r="I177" s="384">
        <v>0</v>
      </c>
      <c r="J177" s="383">
        <v>44877</v>
      </c>
      <c r="K177" s="383">
        <v>45290</v>
      </c>
    </row>
    <row r="178" spans="1:11" x14ac:dyDescent="0.3">
      <c r="A178" t="s">
        <v>2223</v>
      </c>
      <c r="B178" t="s">
        <v>2370</v>
      </c>
      <c r="C178" t="s">
        <v>2396</v>
      </c>
      <c r="D178" s="383">
        <v>45783</v>
      </c>
      <c r="E178" s="384">
        <v>6658551304.6599998</v>
      </c>
      <c r="F178" s="384">
        <v>0</v>
      </c>
      <c r="G178" s="384">
        <v>0</v>
      </c>
      <c r="H178" s="384">
        <v>0</v>
      </c>
      <c r="I178" s="384">
        <v>0</v>
      </c>
      <c r="J178" s="383">
        <v>42058</v>
      </c>
      <c r="K178" s="383">
        <v>42275</v>
      </c>
    </row>
    <row r="179" spans="1:11" x14ac:dyDescent="0.3">
      <c r="A179" t="s">
        <v>2223</v>
      </c>
      <c r="B179" t="s">
        <v>2370</v>
      </c>
      <c r="C179" t="s">
        <v>2397</v>
      </c>
      <c r="D179" s="383">
        <v>20078</v>
      </c>
      <c r="E179" s="384">
        <v>2971849968.6599998</v>
      </c>
      <c r="F179" s="384">
        <v>0</v>
      </c>
      <c r="G179" s="384">
        <v>0</v>
      </c>
      <c r="H179" s="384">
        <v>0</v>
      </c>
      <c r="I179" s="384">
        <v>0</v>
      </c>
      <c r="J179" s="383">
        <v>18924</v>
      </c>
      <c r="K179" s="383">
        <v>19011</v>
      </c>
    </row>
    <row r="180" spans="1:11" x14ac:dyDescent="0.3">
      <c r="A180" t="s">
        <v>2223</v>
      </c>
      <c r="B180" t="s">
        <v>2370</v>
      </c>
      <c r="C180" t="s">
        <v>2398</v>
      </c>
      <c r="D180" s="383">
        <v>4103</v>
      </c>
      <c r="E180" s="384">
        <v>626357985.30999994</v>
      </c>
      <c r="F180" s="384">
        <v>0</v>
      </c>
      <c r="G180" s="384">
        <v>0</v>
      </c>
      <c r="H180" s="384">
        <v>0</v>
      </c>
      <c r="I180" s="384">
        <v>0</v>
      </c>
      <c r="J180" s="383">
        <v>4006</v>
      </c>
      <c r="K180" s="383">
        <v>4014</v>
      </c>
    </row>
    <row r="181" spans="1:11" x14ac:dyDescent="0.3">
      <c r="A181" t="s">
        <v>2223</v>
      </c>
      <c r="B181" t="s">
        <v>2370</v>
      </c>
      <c r="C181" t="s">
        <v>2399</v>
      </c>
      <c r="D181" s="383">
        <v>10246</v>
      </c>
      <c r="E181" s="384">
        <v>802235425.88</v>
      </c>
      <c r="F181" s="384">
        <v>0</v>
      </c>
      <c r="G181" s="384">
        <v>0</v>
      </c>
      <c r="H181" s="384">
        <v>0</v>
      </c>
      <c r="I181" s="384">
        <v>0</v>
      </c>
      <c r="J181" s="383">
        <v>9898</v>
      </c>
      <c r="K181" s="383">
        <v>9909</v>
      </c>
    </row>
    <row r="182" spans="1:11" x14ac:dyDescent="0.3">
      <c r="A182" t="s">
        <v>2223</v>
      </c>
      <c r="B182" t="s">
        <v>2370</v>
      </c>
      <c r="C182" t="s">
        <v>2400</v>
      </c>
      <c r="D182" s="383">
        <v>6466</v>
      </c>
      <c r="E182" s="384">
        <v>730244460.23000002</v>
      </c>
      <c r="F182" s="384">
        <v>0</v>
      </c>
      <c r="G182" s="384">
        <v>0</v>
      </c>
      <c r="H182" s="384">
        <v>0</v>
      </c>
      <c r="I182" s="384">
        <v>0</v>
      </c>
      <c r="J182" s="383">
        <v>6153</v>
      </c>
      <c r="K182" s="383">
        <v>6160</v>
      </c>
    </row>
    <row r="183" spans="1:11" x14ac:dyDescent="0.3">
      <c r="A183" t="s">
        <v>2223</v>
      </c>
      <c r="B183" t="s">
        <v>2370</v>
      </c>
      <c r="C183" t="s">
        <v>2401</v>
      </c>
      <c r="D183" s="383">
        <v>8442</v>
      </c>
      <c r="E183" s="384">
        <v>1070602987.54</v>
      </c>
      <c r="F183" s="384">
        <v>0</v>
      </c>
      <c r="G183" s="384">
        <v>0</v>
      </c>
      <c r="H183" s="384">
        <v>0</v>
      </c>
      <c r="I183" s="384">
        <v>0</v>
      </c>
      <c r="J183" s="383">
        <v>8014</v>
      </c>
      <c r="K183" s="383">
        <v>8024</v>
      </c>
    </row>
    <row r="184" spans="1:11" x14ac:dyDescent="0.3">
      <c r="A184" t="s">
        <v>2223</v>
      </c>
      <c r="B184" t="s">
        <v>2370</v>
      </c>
      <c r="C184" t="s">
        <v>2402</v>
      </c>
      <c r="D184" s="383">
        <v>10237</v>
      </c>
      <c r="E184" s="384">
        <v>1371625413.26</v>
      </c>
      <c r="F184" s="384">
        <v>0</v>
      </c>
      <c r="G184" s="384">
        <v>0</v>
      </c>
      <c r="H184" s="384">
        <v>0</v>
      </c>
      <c r="I184" s="384">
        <v>0</v>
      </c>
      <c r="J184" s="383">
        <v>9669</v>
      </c>
      <c r="K184" s="383">
        <v>9683</v>
      </c>
    </row>
    <row r="185" spans="1:11" x14ac:dyDescent="0.3">
      <c r="A185" t="s">
        <v>2223</v>
      </c>
      <c r="B185" t="s">
        <v>2370</v>
      </c>
      <c r="C185" t="s">
        <v>2403</v>
      </c>
      <c r="D185" s="383">
        <v>14333</v>
      </c>
      <c r="E185" s="384">
        <v>1967540723.03</v>
      </c>
      <c r="F185" s="384">
        <v>0</v>
      </c>
      <c r="G185" s="384">
        <v>0</v>
      </c>
      <c r="H185" s="384">
        <v>0</v>
      </c>
      <c r="I185" s="384">
        <v>0</v>
      </c>
      <c r="J185" s="383">
        <v>13538</v>
      </c>
      <c r="K185" s="383">
        <v>13570</v>
      </c>
    </row>
    <row r="186" spans="1:11" x14ac:dyDescent="0.3">
      <c r="A186" t="s">
        <v>2223</v>
      </c>
      <c r="B186" t="s">
        <v>2370</v>
      </c>
      <c r="C186" t="s">
        <v>2404</v>
      </c>
      <c r="D186" s="383">
        <v>10428</v>
      </c>
      <c r="E186" s="384">
        <v>1546671233.6600001</v>
      </c>
      <c r="F186" s="384">
        <v>0</v>
      </c>
      <c r="G186" s="384">
        <v>0</v>
      </c>
      <c r="H186" s="384">
        <v>0</v>
      </c>
      <c r="I186" s="384">
        <v>0</v>
      </c>
      <c r="J186" s="383">
        <v>9906</v>
      </c>
      <c r="K186" s="383">
        <v>9920</v>
      </c>
    </row>
    <row r="187" spans="1:11" x14ac:dyDescent="0.3">
      <c r="A187" t="s">
        <v>2223</v>
      </c>
      <c r="B187" t="s">
        <v>2370</v>
      </c>
      <c r="C187" t="s">
        <v>2405</v>
      </c>
      <c r="D187" s="383">
        <v>13468</v>
      </c>
      <c r="E187" s="384">
        <v>2057828825.28</v>
      </c>
      <c r="F187" s="384">
        <v>0</v>
      </c>
      <c r="G187" s="384">
        <v>0</v>
      </c>
      <c r="H187" s="384">
        <v>0</v>
      </c>
      <c r="I187" s="384">
        <v>0</v>
      </c>
      <c r="J187" s="383">
        <v>12741</v>
      </c>
      <c r="K187" s="383">
        <v>12792</v>
      </c>
    </row>
    <row r="188" spans="1:11" x14ac:dyDescent="0.3">
      <c r="A188" t="s">
        <v>2223</v>
      </c>
      <c r="B188" t="s">
        <v>2370</v>
      </c>
      <c r="C188" t="s">
        <v>2406</v>
      </c>
      <c r="D188" s="383">
        <v>17458</v>
      </c>
      <c r="E188" s="384">
        <v>2718804016.0300002</v>
      </c>
      <c r="F188" s="384">
        <v>0</v>
      </c>
      <c r="G188" s="384">
        <v>0</v>
      </c>
      <c r="H188" s="384">
        <v>0</v>
      </c>
      <c r="I188" s="384">
        <v>0</v>
      </c>
      <c r="J188" s="383">
        <v>16650</v>
      </c>
      <c r="K188" s="383">
        <v>16727</v>
      </c>
    </row>
    <row r="189" spans="1:11" x14ac:dyDescent="0.3">
      <c r="A189" t="s">
        <v>2223</v>
      </c>
      <c r="B189" t="s">
        <v>2370</v>
      </c>
      <c r="C189" t="s">
        <v>2407</v>
      </c>
      <c r="D189" s="383">
        <v>13744</v>
      </c>
      <c r="E189" s="384">
        <v>2173961164.8099999</v>
      </c>
      <c r="F189" s="384">
        <v>0</v>
      </c>
      <c r="G189" s="384">
        <v>0</v>
      </c>
      <c r="H189" s="384">
        <v>0</v>
      </c>
      <c r="I189" s="384">
        <v>0</v>
      </c>
      <c r="J189" s="383">
        <v>13164</v>
      </c>
      <c r="K189" s="383">
        <v>13244</v>
      </c>
    </row>
    <row r="190" spans="1:11" x14ac:dyDescent="0.3">
      <c r="A190" t="s">
        <v>2223</v>
      </c>
      <c r="B190" t="s">
        <v>2370</v>
      </c>
      <c r="C190" t="s">
        <v>2408</v>
      </c>
      <c r="D190" s="383">
        <v>93637</v>
      </c>
      <c r="E190" s="384">
        <v>2134808543.9400001</v>
      </c>
      <c r="F190" s="384">
        <v>0</v>
      </c>
      <c r="G190" s="384">
        <v>0</v>
      </c>
      <c r="H190" s="384">
        <v>0</v>
      </c>
      <c r="I190" s="384">
        <v>0</v>
      </c>
      <c r="J190" s="383">
        <v>80952</v>
      </c>
      <c r="K190" s="383">
        <v>82036</v>
      </c>
    </row>
    <row r="191" spans="1:11" x14ac:dyDescent="0.3">
      <c r="A191" t="s">
        <v>2223</v>
      </c>
      <c r="B191" t="s">
        <v>2370</v>
      </c>
      <c r="C191" t="s">
        <v>2409</v>
      </c>
      <c r="D191" s="383">
        <v>19232</v>
      </c>
      <c r="E191" s="384">
        <v>888661345.34000003</v>
      </c>
      <c r="F191" s="384">
        <v>0</v>
      </c>
      <c r="G191" s="384">
        <v>0</v>
      </c>
      <c r="H191" s="384">
        <v>0</v>
      </c>
      <c r="I191" s="384">
        <v>0</v>
      </c>
      <c r="J191" s="383">
        <v>14968</v>
      </c>
      <c r="K191" s="383">
        <v>15028</v>
      </c>
    </row>
    <row r="192" spans="1:11" x14ac:dyDescent="0.3">
      <c r="A192" t="s">
        <v>2223</v>
      </c>
      <c r="B192" t="s">
        <v>2370</v>
      </c>
      <c r="C192" t="s">
        <v>2410</v>
      </c>
      <c r="D192" s="383">
        <v>13219</v>
      </c>
      <c r="E192" s="384">
        <v>662682670.30999994</v>
      </c>
      <c r="F192" s="384">
        <v>0</v>
      </c>
      <c r="G192" s="384">
        <v>0</v>
      </c>
      <c r="H192" s="384">
        <v>0</v>
      </c>
      <c r="I192" s="384">
        <v>0</v>
      </c>
      <c r="J192" s="383">
        <v>9786</v>
      </c>
      <c r="K192" s="383">
        <v>9827</v>
      </c>
    </row>
    <row r="193" spans="1:11" x14ac:dyDescent="0.3">
      <c r="A193" t="s">
        <v>2223</v>
      </c>
      <c r="B193" t="s">
        <v>2370</v>
      </c>
      <c r="C193" t="s">
        <v>2411</v>
      </c>
      <c r="D193" s="383">
        <v>4876</v>
      </c>
      <c r="E193" s="384">
        <v>264546312.47</v>
      </c>
      <c r="F193" s="384">
        <v>0</v>
      </c>
      <c r="G193" s="384">
        <v>0</v>
      </c>
      <c r="H193" s="384">
        <v>0</v>
      </c>
      <c r="I193" s="384">
        <v>0</v>
      </c>
      <c r="J193" s="383">
        <v>3610</v>
      </c>
      <c r="K193" s="383">
        <v>3621</v>
      </c>
    </row>
    <row r="194" spans="1:11" x14ac:dyDescent="0.3">
      <c r="A194" t="s">
        <v>2223</v>
      </c>
      <c r="B194" t="s">
        <v>2370</v>
      </c>
      <c r="C194" t="s">
        <v>2412</v>
      </c>
      <c r="D194" s="383">
        <v>793</v>
      </c>
      <c r="E194" s="384">
        <v>43678278.100000001</v>
      </c>
      <c r="F194" s="384">
        <v>0</v>
      </c>
      <c r="G194" s="384">
        <v>0</v>
      </c>
      <c r="H194" s="384">
        <v>0</v>
      </c>
      <c r="I194" s="384">
        <v>0</v>
      </c>
      <c r="J194" s="383">
        <v>589</v>
      </c>
      <c r="K194" s="383">
        <v>590</v>
      </c>
    </row>
    <row r="195" spans="1:11" x14ac:dyDescent="0.3">
      <c r="A195" t="s">
        <v>2223</v>
      </c>
      <c r="B195" t="s">
        <v>2370</v>
      </c>
      <c r="C195" t="s">
        <v>2413</v>
      </c>
      <c r="D195" s="383">
        <v>68</v>
      </c>
      <c r="E195" s="384">
        <v>3831603.19</v>
      </c>
      <c r="F195" s="384">
        <v>0</v>
      </c>
      <c r="G195" s="384">
        <v>0</v>
      </c>
      <c r="H195" s="384">
        <v>0</v>
      </c>
      <c r="I195" s="384">
        <v>0</v>
      </c>
      <c r="J195" s="383">
        <v>56</v>
      </c>
      <c r="K195" s="383">
        <v>56</v>
      </c>
    </row>
    <row r="196" spans="1:11" x14ac:dyDescent="0.3">
      <c r="A196" t="s">
        <v>2223</v>
      </c>
      <c r="B196" t="s">
        <v>2370</v>
      </c>
      <c r="C196" t="s">
        <v>2414</v>
      </c>
      <c r="D196" s="383">
        <v>40</v>
      </c>
      <c r="E196" s="384">
        <v>2429604.63</v>
      </c>
      <c r="F196" s="384">
        <v>0</v>
      </c>
      <c r="G196" s="384">
        <v>0</v>
      </c>
      <c r="H196" s="384">
        <v>0</v>
      </c>
      <c r="I196" s="384">
        <v>0</v>
      </c>
      <c r="J196" s="383">
        <v>35</v>
      </c>
      <c r="K196" s="383">
        <v>35</v>
      </c>
    </row>
    <row r="197" spans="1:11" x14ac:dyDescent="0.3">
      <c r="A197" t="s">
        <v>2223</v>
      </c>
      <c r="B197" t="s">
        <v>2370</v>
      </c>
      <c r="C197" t="s">
        <v>2415</v>
      </c>
      <c r="D197" s="383">
        <v>21</v>
      </c>
      <c r="E197" s="384">
        <v>1027799.88</v>
      </c>
      <c r="F197" s="384">
        <v>0</v>
      </c>
      <c r="G197" s="384">
        <v>0</v>
      </c>
      <c r="H197" s="384">
        <v>0</v>
      </c>
      <c r="I197" s="384">
        <v>0</v>
      </c>
      <c r="J197" s="383">
        <v>18</v>
      </c>
      <c r="K197" s="383">
        <v>18</v>
      </c>
    </row>
    <row r="198" spans="1:11" x14ac:dyDescent="0.3">
      <c r="A198" t="s">
        <v>2223</v>
      </c>
      <c r="B198" t="s">
        <v>2370</v>
      </c>
      <c r="C198" t="s">
        <v>2416</v>
      </c>
      <c r="D198" s="383">
        <v>8</v>
      </c>
      <c r="E198" s="384">
        <v>620780.98</v>
      </c>
      <c r="F198" s="384">
        <v>0</v>
      </c>
      <c r="G198" s="384">
        <v>0</v>
      </c>
      <c r="H198" s="384">
        <v>0</v>
      </c>
      <c r="I198" s="384">
        <v>0</v>
      </c>
      <c r="J198" s="383">
        <v>7</v>
      </c>
      <c r="K198" s="383">
        <v>7</v>
      </c>
    </row>
    <row r="199" spans="1:11" x14ac:dyDescent="0.3">
      <c r="A199" t="s">
        <v>2223</v>
      </c>
      <c r="B199" t="s">
        <v>2417</v>
      </c>
      <c r="C199" t="s">
        <v>2418</v>
      </c>
      <c r="D199" s="383">
        <v>971224</v>
      </c>
      <c r="E199" s="384">
        <v>85276066473.039993</v>
      </c>
      <c r="F199" s="384">
        <v>0</v>
      </c>
      <c r="G199" s="384">
        <v>0</v>
      </c>
      <c r="H199" s="384">
        <v>0</v>
      </c>
      <c r="I199" s="384">
        <v>0</v>
      </c>
      <c r="J199" s="383">
        <v>823879</v>
      </c>
      <c r="K199" s="383">
        <v>876017</v>
      </c>
    </row>
    <row r="200" spans="1:11" x14ac:dyDescent="0.3">
      <c r="A200" t="s">
        <v>2419</v>
      </c>
      <c r="B200" t="s">
        <v>2420</v>
      </c>
      <c r="C200" t="s">
        <v>2421</v>
      </c>
      <c r="D200" s="383">
        <v>222</v>
      </c>
      <c r="E200" s="384">
        <v>64045500000</v>
      </c>
      <c r="F200" s="384">
        <v>0</v>
      </c>
      <c r="G200" s="384">
        <v>0</v>
      </c>
      <c r="H200" s="384">
        <v>0</v>
      </c>
      <c r="I200" s="384">
        <v>0</v>
      </c>
      <c r="J200" s="383">
        <v>0</v>
      </c>
      <c r="K200" s="383">
        <v>0</v>
      </c>
    </row>
    <row r="201" spans="1:11" x14ac:dyDescent="0.3">
      <c r="A201" t="s">
        <v>2419</v>
      </c>
      <c r="B201" t="s">
        <v>2422</v>
      </c>
      <c r="C201" t="s">
        <v>2423</v>
      </c>
      <c r="D201" s="383">
        <v>220</v>
      </c>
      <c r="E201" s="384">
        <v>64005500000</v>
      </c>
      <c r="F201" s="384">
        <v>0</v>
      </c>
      <c r="G201" s="384">
        <v>0</v>
      </c>
      <c r="H201" s="384">
        <v>5.23</v>
      </c>
      <c r="I201" s="384">
        <v>0</v>
      </c>
      <c r="J201" s="383">
        <v>0</v>
      </c>
      <c r="K201" s="383">
        <v>0</v>
      </c>
    </row>
    <row r="202" spans="1:11" x14ac:dyDescent="0.3">
      <c r="A202" t="s">
        <v>2419</v>
      </c>
      <c r="B202" t="s">
        <v>2422</v>
      </c>
      <c r="C202" t="s">
        <v>2424</v>
      </c>
      <c r="D202" s="383">
        <v>2</v>
      </c>
      <c r="E202" s="384">
        <v>40000000</v>
      </c>
      <c r="F202" s="384">
        <v>0</v>
      </c>
      <c r="G202" s="384">
        <v>0</v>
      </c>
      <c r="H202" s="384">
        <v>3.6</v>
      </c>
      <c r="I202" s="384">
        <v>0</v>
      </c>
      <c r="J202" s="383">
        <v>0</v>
      </c>
      <c r="K202" s="383">
        <v>0</v>
      </c>
    </row>
    <row r="203" spans="1:11" x14ac:dyDescent="0.3">
      <c r="A203" t="s">
        <v>2419</v>
      </c>
      <c r="B203" t="s">
        <v>2425</v>
      </c>
      <c r="C203" t="s">
        <v>2426</v>
      </c>
      <c r="D203" s="383">
        <v>2</v>
      </c>
      <c r="E203" s="384">
        <v>30000000</v>
      </c>
      <c r="F203" s="384">
        <v>0</v>
      </c>
      <c r="G203" s="384">
        <v>0</v>
      </c>
      <c r="H203" s="384">
        <v>0</v>
      </c>
      <c r="I203" s="384">
        <v>0</v>
      </c>
      <c r="J203" s="383">
        <v>0</v>
      </c>
      <c r="K203" s="383">
        <v>0</v>
      </c>
    </row>
    <row r="204" spans="1:11" x14ac:dyDescent="0.3">
      <c r="A204" t="s">
        <v>2419</v>
      </c>
      <c r="B204" t="s">
        <v>2425</v>
      </c>
      <c r="C204" t="s">
        <v>2427</v>
      </c>
      <c r="D204" s="383">
        <v>12</v>
      </c>
      <c r="E204" s="384">
        <v>8016000000</v>
      </c>
      <c r="F204" s="384">
        <v>0</v>
      </c>
      <c r="G204" s="384">
        <v>0</v>
      </c>
      <c r="H204" s="384">
        <v>0</v>
      </c>
      <c r="I204" s="384">
        <v>0</v>
      </c>
      <c r="J204" s="383">
        <v>0</v>
      </c>
      <c r="K204" s="383">
        <v>0</v>
      </c>
    </row>
    <row r="205" spans="1:11" x14ac:dyDescent="0.3">
      <c r="A205" t="s">
        <v>2419</v>
      </c>
      <c r="B205" t="s">
        <v>2425</v>
      </c>
      <c r="C205" t="s">
        <v>2428</v>
      </c>
      <c r="D205" s="383">
        <v>13</v>
      </c>
      <c r="E205" s="384">
        <v>7066000000</v>
      </c>
      <c r="F205" s="384">
        <v>0</v>
      </c>
      <c r="G205" s="384">
        <v>0</v>
      </c>
      <c r="H205" s="384">
        <v>0</v>
      </c>
      <c r="I205" s="384">
        <v>0</v>
      </c>
      <c r="J205" s="383">
        <v>0</v>
      </c>
      <c r="K205" s="383">
        <v>0</v>
      </c>
    </row>
    <row r="206" spans="1:11" x14ac:dyDescent="0.3">
      <c r="A206" t="s">
        <v>2419</v>
      </c>
      <c r="B206" t="s">
        <v>2425</v>
      </c>
      <c r="C206" t="s">
        <v>2429</v>
      </c>
      <c r="D206" s="383">
        <v>16</v>
      </c>
      <c r="E206" s="384">
        <v>8893000000</v>
      </c>
      <c r="F206" s="384">
        <v>0</v>
      </c>
      <c r="G206" s="384">
        <v>0</v>
      </c>
      <c r="H206" s="384">
        <v>0</v>
      </c>
      <c r="I206" s="384">
        <v>0</v>
      </c>
      <c r="J206" s="383">
        <v>0</v>
      </c>
      <c r="K206" s="383">
        <v>0</v>
      </c>
    </row>
    <row r="207" spans="1:11" x14ac:dyDescent="0.3">
      <c r="A207" t="s">
        <v>2419</v>
      </c>
      <c r="B207" t="s">
        <v>2425</v>
      </c>
      <c r="C207" t="s">
        <v>2430</v>
      </c>
      <c r="D207" s="383">
        <v>5</v>
      </c>
      <c r="E207" s="384">
        <v>4760000000</v>
      </c>
      <c r="F207" s="384">
        <v>0</v>
      </c>
      <c r="G207" s="384">
        <v>0</v>
      </c>
      <c r="H207" s="384">
        <v>0</v>
      </c>
      <c r="I207" s="384">
        <v>0</v>
      </c>
      <c r="J207" s="383">
        <v>0</v>
      </c>
      <c r="K207" s="383">
        <v>0</v>
      </c>
    </row>
    <row r="208" spans="1:11" x14ac:dyDescent="0.3">
      <c r="A208" t="s">
        <v>2419</v>
      </c>
      <c r="B208" t="s">
        <v>2425</v>
      </c>
      <c r="C208" t="s">
        <v>2431</v>
      </c>
      <c r="D208" s="383">
        <v>83</v>
      </c>
      <c r="E208" s="384">
        <v>28141200000</v>
      </c>
      <c r="F208" s="384">
        <v>0</v>
      </c>
      <c r="G208" s="384">
        <v>0</v>
      </c>
      <c r="H208" s="384">
        <v>0</v>
      </c>
      <c r="I208" s="384">
        <v>0</v>
      </c>
      <c r="J208" s="383">
        <v>0</v>
      </c>
      <c r="K208" s="383">
        <v>0</v>
      </c>
    </row>
    <row r="209" spans="1:11" x14ac:dyDescent="0.3">
      <c r="A209" t="s">
        <v>2419</v>
      </c>
      <c r="B209" t="s">
        <v>2425</v>
      </c>
      <c r="C209" t="s">
        <v>2432</v>
      </c>
      <c r="D209" s="383">
        <v>91</v>
      </c>
      <c r="E209" s="384">
        <v>7139300000</v>
      </c>
      <c r="F209" s="384">
        <v>0</v>
      </c>
      <c r="G209" s="384">
        <v>0</v>
      </c>
      <c r="H209" s="384">
        <v>0</v>
      </c>
      <c r="I209" s="384">
        <v>0</v>
      </c>
      <c r="J209" s="383">
        <v>0</v>
      </c>
      <c r="K209" s="383">
        <v>0</v>
      </c>
    </row>
    <row r="210" spans="1:11" x14ac:dyDescent="0.3">
      <c r="A210" t="s">
        <v>2419</v>
      </c>
      <c r="B210" t="s">
        <v>2433</v>
      </c>
      <c r="C210" t="s">
        <v>2423</v>
      </c>
      <c r="D210" s="383">
        <v>220</v>
      </c>
      <c r="E210" s="384">
        <v>64005500000</v>
      </c>
      <c r="F210" s="384">
        <v>0</v>
      </c>
      <c r="G210" s="384">
        <v>0</v>
      </c>
      <c r="H210" s="384">
        <v>0.01</v>
      </c>
      <c r="I210" s="384">
        <v>0</v>
      </c>
      <c r="J210" s="383">
        <v>0</v>
      </c>
      <c r="K210" s="383">
        <v>0</v>
      </c>
    </row>
    <row r="211" spans="1:11" x14ac:dyDescent="0.3">
      <c r="A211" t="s">
        <v>2419</v>
      </c>
      <c r="B211" t="s">
        <v>2433</v>
      </c>
      <c r="C211" t="s">
        <v>2424</v>
      </c>
      <c r="D211" s="383">
        <v>2</v>
      </c>
      <c r="E211" s="384">
        <v>40000000</v>
      </c>
      <c r="F211" s="384">
        <v>0</v>
      </c>
      <c r="G211" s="384">
        <v>0</v>
      </c>
      <c r="H211" s="384">
        <v>0.26</v>
      </c>
      <c r="I211" s="384">
        <v>0</v>
      </c>
      <c r="J211" s="383">
        <v>0</v>
      </c>
      <c r="K211" s="383">
        <v>0</v>
      </c>
    </row>
    <row r="212" spans="1:11" x14ac:dyDescent="0.3">
      <c r="A212" t="s">
        <v>2419</v>
      </c>
      <c r="B212" t="s">
        <v>2434</v>
      </c>
      <c r="C212" t="s">
        <v>2423</v>
      </c>
      <c r="D212" s="383">
        <v>220</v>
      </c>
      <c r="E212" s="384">
        <v>64005500000</v>
      </c>
      <c r="F212" s="384">
        <v>0</v>
      </c>
      <c r="G212" s="384">
        <v>0</v>
      </c>
      <c r="H212" s="384">
        <v>2</v>
      </c>
      <c r="I212" s="384">
        <v>0</v>
      </c>
      <c r="J212" s="383">
        <v>0</v>
      </c>
      <c r="K212" s="383">
        <v>0</v>
      </c>
    </row>
    <row r="213" spans="1:11" x14ac:dyDescent="0.3">
      <c r="A213" t="s">
        <v>2419</v>
      </c>
      <c r="B213" t="s">
        <v>2434</v>
      </c>
      <c r="C213" t="s">
        <v>2424</v>
      </c>
      <c r="D213" s="383">
        <v>2</v>
      </c>
      <c r="E213" s="384">
        <v>40000000</v>
      </c>
      <c r="F213" s="384">
        <v>0</v>
      </c>
      <c r="G213" s="384">
        <v>0</v>
      </c>
      <c r="H213" s="384">
        <v>1.29</v>
      </c>
      <c r="I213" s="384">
        <v>0</v>
      </c>
      <c r="J213" s="383">
        <v>0</v>
      </c>
      <c r="K213" s="383">
        <v>0</v>
      </c>
    </row>
    <row r="214" spans="1:11" x14ac:dyDescent="0.3">
      <c r="A214" t="s">
        <v>2419</v>
      </c>
      <c r="B214" t="s">
        <v>2435</v>
      </c>
      <c r="C214" t="s">
        <v>2436</v>
      </c>
      <c r="D214" s="383">
        <v>11</v>
      </c>
      <c r="E214" s="384">
        <v>7405000000</v>
      </c>
      <c r="F214" s="384">
        <v>0</v>
      </c>
      <c r="G214" s="384">
        <v>0</v>
      </c>
      <c r="H214" s="384">
        <v>0</v>
      </c>
      <c r="I214" s="384">
        <v>0</v>
      </c>
      <c r="J214" s="383">
        <v>0</v>
      </c>
      <c r="K214" s="383">
        <v>0</v>
      </c>
    </row>
    <row r="215" spans="1:11" x14ac:dyDescent="0.3">
      <c r="A215" t="s">
        <v>2419</v>
      </c>
      <c r="B215" t="s">
        <v>2435</v>
      </c>
      <c r="C215" t="s">
        <v>2437</v>
      </c>
      <c r="D215" s="383">
        <v>209</v>
      </c>
      <c r="E215" s="384">
        <v>56600500000</v>
      </c>
      <c r="F215" s="384">
        <v>0</v>
      </c>
      <c r="G215" s="384">
        <v>0</v>
      </c>
      <c r="H215" s="384">
        <v>0</v>
      </c>
      <c r="I215" s="384">
        <v>0</v>
      </c>
      <c r="J215" s="383">
        <v>0</v>
      </c>
      <c r="K215" s="383">
        <v>0</v>
      </c>
    </row>
    <row r="216" spans="1:11" x14ac:dyDescent="0.3">
      <c r="A216" t="s">
        <v>2419</v>
      </c>
      <c r="B216" t="s">
        <v>2435</v>
      </c>
      <c r="C216" t="s">
        <v>2438</v>
      </c>
      <c r="D216" s="383">
        <v>1</v>
      </c>
      <c r="E216" s="384">
        <v>20000000</v>
      </c>
      <c r="F216" s="384">
        <v>0</v>
      </c>
      <c r="G216" s="384">
        <v>0</v>
      </c>
      <c r="H216" s="384">
        <v>0</v>
      </c>
      <c r="I216" s="384">
        <v>0</v>
      </c>
      <c r="J216" s="383">
        <v>0</v>
      </c>
      <c r="K216" s="383">
        <v>0</v>
      </c>
    </row>
    <row r="217" spans="1:11" x14ac:dyDescent="0.3">
      <c r="A217" t="s">
        <v>2419</v>
      </c>
      <c r="B217" t="s">
        <v>2435</v>
      </c>
      <c r="C217" t="s">
        <v>2439</v>
      </c>
      <c r="D217" s="383">
        <v>1</v>
      </c>
      <c r="E217" s="384">
        <v>20000000</v>
      </c>
      <c r="F217" s="384">
        <v>0</v>
      </c>
      <c r="G217" s="384">
        <v>0</v>
      </c>
      <c r="H217" s="384">
        <v>0</v>
      </c>
      <c r="I217" s="384">
        <v>0</v>
      </c>
      <c r="J217" s="383">
        <v>0</v>
      </c>
      <c r="K217" s="383">
        <v>0</v>
      </c>
    </row>
    <row r="218" spans="1:11" x14ac:dyDescent="0.3">
      <c r="A218" t="s">
        <v>2223</v>
      </c>
      <c r="B218" t="s">
        <v>2440</v>
      </c>
      <c r="C218" t="s">
        <v>2441</v>
      </c>
      <c r="D218" s="383">
        <v>37803</v>
      </c>
      <c r="E218" s="384">
        <v>3336689742.1799998</v>
      </c>
      <c r="F218" s="384">
        <v>0</v>
      </c>
      <c r="G218" s="384">
        <v>0</v>
      </c>
      <c r="H218" s="384">
        <v>0</v>
      </c>
      <c r="I218" s="384">
        <v>0</v>
      </c>
      <c r="J218" s="383">
        <v>32384</v>
      </c>
      <c r="K218" s="383">
        <v>35074</v>
      </c>
    </row>
    <row r="219" spans="1:11" x14ac:dyDescent="0.3">
      <c r="A219" t="s">
        <v>2223</v>
      </c>
      <c r="B219" t="s">
        <v>2440</v>
      </c>
      <c r="C219" t="s">
        <v>2442</v>
      </c>
      <c r="D219" s="383">
        <v>184119</v>
      </c>
      <c r="E219" s="384">
        <v>16188088517.700001</v>
      </c>
      <c r="F219" s="384">
        <v>0</v>
      </c>
      <c r="G219" s="384">
        <v>0</v>
      </c>
      <c r="H219" s="384">
        <v>0</v>
      </c>
      <c r="I219" s="384">
        <v>0</v>
      </c>
      <c r="J219" s="383">
        <v>160558</v>
      </c>
      <c r="K219" s="383">
        <v>169046</v>
      </c>
    </row>
    <row r="220" spans="1:11" x14ac:dyDescent="0.3">
      <c r="A220" t="s">
        <v>2223</v>
      </c>
      <c r="B220" t="s">
        <v>2440</v>
      </c>
      <c r="C220" t="s">
        <v>2443</v>
      </c>
      <c r="D220" s="383">
        <v>106043</v>
      </c>
      <c r="E220" s="384">
        <v>10906507769.73</v>
      </c>
      <c r="F220" s="384">
        <v>0</v>
      </c>
      <c r="G220" s="384">
        <v>0</v>
      </c>
      <c r="H220" s="384">
        <v>0</v>
      </c>
      <c r="I220" s="384">
        <v>0</v>
      </c>
      <c r="J220" s="383">
        <v>88514</v>
      </c>
      <c r="K220" s="383">
        <v>98435</v>
      </c>
    </row>
    <row r="221" spans="1:11" x14ac:dyDescent="0.3">
      <c r="A221" t="s">
        <v>2223</v>
      </c>
      <c r="B221" t="s">
        <v>2440</v>
      </c>
      <c r="C221" t="s">
        <v>2444</v>
      </c>
      <c r="D221" s="383">
        <v>44712</v>
      </c>
      <c r="E221" s="384">
        <v>2014448150.22</v>
      </c>
      <c r="F221" s="384">
        <v>0</v>
      </c>
      <c r="G221" s="384">
        <v>0</v>
      </c>
      <c r="H221" s="384">
        <v>0</v>
      </c>
      <c r="I221" s="384">
        <v>0</v>
      </c>
      <c r="J221" s="383">
        <v>41054</v>
      </c>
      <c r="K221" s="383">
        <v>42400</v>
      </c>
    </row>
    <row r="222" spans="1:11" x14ac:dyDescent="0.3">
      <c r="A222" t="s">
        <v>2223</v>
      </c>
      <c r="B222" t="s">
        <v>2440</v>
      </c>
      <c r="C222" t="s">
        <v>2445</v>
      </c>
      <c r="D222" s="383">
        <v>598547</v>
      </c>
      <c r="E222" s="384">
        <v>52830332293.209999</v>
      </c>
      <c r="F222" s="384">
        <v>0</v>
      </c>
      <c r="G222" s="384">
        <v>0</v>
      </c>
      <c r="H222" s="384">
        <v>0</v>
      </c>
      <c r="I222" s="384">
        <v>0</v>
      </c>
      <c r="J222" s="383">
        <v>501369</v>
      </c>
      <c r="K222" s="383">
        <v>531104</v>
      </c>
    </row>
    <row r="223" spans="1:11" x14ac:dyDescent="0.3">
      <c r="A223" t="s">
        <v>2223</v>
      </c>
      <c r="B223" t="s">
        <v>2446</v>
      </c>
      <c r="C223" t="s">
        <v>2447</v>
      </c>
      <c r="D223" s="383">
        <v>12271</v>
      </c>
      <c r="E223" s="384">
        <v>491904608.95999998</v>
      </c>
      <c r="F223" s="384">
        <v>0</v>
      </c>
      <c r="G223" s="384">
        <v>0</v>
      </c>
      <c r="H223" s="384">
        <v>0</v>
      </c>
      <c r="I223" s="384">
        <v>0</v>
      </c>
      <c r="J223" s="383">
        <v>11059</v>
      </c>
      <c r="K223" s="383">
        <v>11540</v>
      </c>
    </row>
    <row r="224" spans="1:11" x14ac:dyDescent="0.3">
      <c r="A224" t="s">
        <v>2223</v>
      </c>
      <c r="B224" t="s">
        <v>2446</v>
      </c>
      <c r="C224" t="s">
        <v>2448</v>
      </c>
      <c r="D224" s="383">
        <v>4361</v>
      </c>
      <c r="E224" s="384">
        <v>318745284.73000002</v>
      </c>
      <c r="F224" s="384">
        <v>0</v>
      </c>
      <c r="G224" s="384">
        <v>0</v>
      </c>
      <c r="H224" s="384">
        <v>0</v>
      </c>
      <c r="I224" s="384">
        <v>0</v>
      </c>
      <c r="J224" s="383">
        <v>3867</v>
      </c>
      <c r="K224" s="383">
        <v>3976</v>
      </c>
    </row>
    <row r="225" spans="1:11" x14ac:dyDescent="0.3">
      <c r="A225" t="s">
        <v>2223</v>
      </c>
      <c r="B225" t="s">
        <v>2446</v>
      </c>
      <c r="C225" t="s">
        <v>2449</v>
      </c>
      <c r="D225" s="383">
        <v>4728</v>
      </c>
      <c r="E225" s="384">
        <v>419145135.79000002</v>
      </c>
      <c r="F225" s="384">
        <v>0</v>
      </c>
      <c r="G225" s="384">
        <v>0</v>
      </c>
      <c r="H225" s="384">
        <v>0</v>
      </c>
      <c r="I225" s="384">
        <v>0</v>
      </c>
      <c r="J225" s="383">
        <v>4172</v>
      </c>
      <c r="K225" s="383">
        <v>4267</v>
      </c>
    </row>
    <row r="226" spans="1:11" x14ac:dyDescent="0.3">
      <c r="A226" t="s">
        <v>2223</v>
      </c>
      <c r="B226" t="s">
        <v>2446</v>
      </c>
      <c r="C226" t="s">
        <v>2450</v>
      </c>
      <c r="D226" s="383">
        <v>4732</v>
      </c>
      <c r="E226" s="384">
        <v>483731512.72000003</v>
      </c>
      <c r="F226" s="384">
        <v>0</v>
      </c>
      <c r="G226" s="384">
        <v>0</v>
      </c>
      <c r="H226" s="384">
        <v>0</v>
      </c>
      <c r="I226" s="384">
        <v>0</v>
      </c>
      <c r="J226" s="383">
        <v>4136</v>
      </c>
      <c r="K226" s="383">
        <v>4281</v>
      </c>
    </row>
    <row r="227" spans="1:11" x14ac:dyDescent="0.3">
      <c r="A227" t="s">
        <v>2223</v>
      </c>
      <c r="B227" t="s">
        <v>2446</v>
      </c>
      <c r="C227" t="s">
        <v>2451</v>
      </c>
      <c r="D227" s="383">
        <v>4884</v>
      </c>
      <c r="E227" s="384">
        <v>585202732.29999995</v>
      </c>
      <c r="F227" s="384">
        <v>0</v>
      </c>
      <c r="G227" s="384">
        <v>0</v>
      </c>
      <c r="H227" s="384">
        <v>0</v>
      </c>
      <c r="I227" s="384">
        <v>0</v>
      </c>
      <c r="J227" s="383">
        <v>4317</v>
      </c>
      <c r="K227" s="383">
        <v>4481</v>
      </c>
    </row>
    <row r="228" spans="1:11" x14ac:dyDescent="0.3">
      <c r="A228" t="s">
        <v>2223</v>
      </c>
      <c r="B228" t="s">
        <v>2446</v>
      </c>
      <c r="C228" t="s">
        <v>2452</v>
      </c>
      <c r="D228" s="383">
        <v>2273</v>
      </c>
      <c r="E228" s="384">
        <v>317642959.54000002</v>
      </c>
      <c r="F228" s="384">
        <v>0</v>
      </c>
      <c r="G228" s="384">
        <v>0</v>
      </c>
      <c r="H228" s="384">
        <v>0</v>
      </c>
      <c r="I228" s="384">
        <v>0</v>
      </c>
      <c r="J228" s="383">
        <v>2090</v>
      </c>
      <c r="K228" s="383">
        <v>2143</v>
      </c>
    </row>
    <row r="229" spans="1:11" x14ac:dyDescent="0.3">
      <c r="A229" t="s">
        <v>2223</v>
      </c>
      <c r="B229" t="s">
        <v>2446</v>
      </c>
      <c r="C229" t="s">
        <v>2453</v>
      </c>
      <c r="D229" s="383">
        <v>2071</v>
      </c>
      <c r="E229" s="384">
        <v>312564472.07999998</v>
      </c>
      <c r="F229" s="384">
        <v>0</v>
      </c>
      <c r="G229" s="384">
        <v>0</v>
      </c>
      <c r="H229" s="384">
        <v>0</v>
      </c>
      <c r="I229" s="384">
        <v>0</v>
      </c>
      <c r="J229" s="383">
        <v>1931</v>
      </c>
      <c r="K229" s="383">
        <v>1966</v>
      </c>
    </row>
    <row r="230" spans="1:11" x14ac:dyDescent="0.3">
      <c r="A230" t="s">
        <v>2223</v>
      </c>
      <c r="B230" t="s">
        <v>2446</v>
      </c>
      <c r="C230" t="s">
        <v>2454</v>
      </c>
      <c r="D230" s="383">
        <v>1551</v>
      </c>
      <c r="E230" s="384">
        <v>252599044.88999999</v>
      </c>
      <c r="F230" s="384">
        <v>0</v>
      </c>
      <c r="G230" s="384">
        <v>0</v>
      </c>
      <c r="H230" s="384">
        <v>0</v>
      </c>
      <c r="I230" s="384">
        <v>0</v>
      </c>
      <c r="J230" s="383">
        <v>1475</v>
      </c>
      <c r="K230" s="383">
        <v>1506</v>
      </c>
    </row>
    <row r="231" spans="1:11" x14ac:dyDescent="0.3">
      <c r="A231" t="s">
        <v>2223</v>
      </c>
      <c r="B231" t="s">
        <v>2446</v>
      </c>
      <c r="C231" t="s">
        <v>2455</v>
      </c>
      <c r="D231" s="383">
        <v>932</v>
      </c>
      <c r="E231" s="384">
        <v>155153991.16999999</v>
      </c>
      <c r="F231" s="384">
        <v>0</v>
      </c>
      <c r="G231" s="384">
        <v>0</v>
      </c>
      <c r="H231" s="384">
        <v>0</v>
      </c>
      <c r="I231" s="384">
        <v>0</v>
      </c>
      <c r="J231" s="383">
        <v>885</v>
      </c>
      <c r="K231" s="383">
        <v>914</v>
      </c>
    </row>
    <row r="232" spans="1:11" x14ac:dyDescent="0.3">
      <c r="A232" t="s">
        <v>2223</v>
      </c>
      <c r="B232" t="s">
        <v>2446</v>
      </c>
      <c r="C232" t="s">
        <v>2456</v>
      </c>
      <c r="D232" s="383">
        <v>49736</v>
      </c>
      <c r="E232" s="384">
        <v>1910417587.1199999</v>
      </c>
      <c r="F232" s="384">
        <v>0</v>
      </c>
      <c r="G232" s="384">
        <v>0</v>
      </c>
      <c r="H232" s="384">
        <v>0</v>
      </c>
      <c r="I232" s="384">
        <v>0</v>
      </c>
      <c r="J232" s="383">
        <v>45727</v>
      </c>
      <c r="K232" s="383">
        <v>46684</v>
      </c>
    </row>
    <row r="233" spans="1:11" x14ac:dyDescent="0.3">
      <c r="A233" t="s">
        <v>2223</v>
      </c>
      <c r="B233" t="s">
        <v>2446</v>
      </c>
      <c r="C233" t="s">
        <v>2457</v>
      </c>
      <c r="D233" s="383">
        <v>19200</v>
      </c>
      <c r="E233" s="384">
        <v>1381586454.05</v>
      </c>
      <c r="F233" s="384">
        <v>0</v>
      </c>
      <c r="G233" s="384">
        <v>0</v>
      </c>
      <c r="H233" s="384">
        <v>0</v>
      </c>
      <c r="I233" s="384">
        <v>0</v>
      </c>
      <c r="J233" s="383">
        <v>17262</v>
      </c>
      <c r="K233" s="383">
        <v>17442</v>
      </c>
    </row>
    <row r="234" spans="1:11" x14ac:dyDescent="0.3">
      <c r="A234" t="s">
        <v>2223</v>
      </c>
      <c r="B234" t="s">
        <v>2446</v>
      </c>
      <c r="C234" t="s">
        <v>2458</v>
      </c>
      <c r="D234" s="383">
        <v>23175</v>
      </c>
      <c r="E234" s="384">
        <v>1957613312.5699999</v>
      </c>
      <c r="F234" s="384">
        <v>0</v>
      </c>
      <c r="G234" s="384">
        <v>0</v>
      </c>
      <c r="H234" s="384">
        <v>0</v>
      </c>
      <c r="I234" s="384">
        <v>0</v>
      </c>
      <c r="J234" s="383">
        <v>20562</v>
      </c>
      <c r="K234" s="383">
        <v>20831</v>
      </c>
    </row>
    <row r="235" spans="1:11" x14ac:dyDescent="0.3">
      <c r="A235" t="s">
        <v>2223</v>
      </c>
      <c r="B235" t="s">
        <v>2446</v>
      </c>
      <c r="C235" t="s">
        <v>2459</v>
      </c>
      <c r="D235" s="383">
        <v>26213</v>
      </c>
      <c r="E235" s="384">
        <v>2514705627</v>
      </c>
      <c r="F235" s="384">
        <v>0</v>
      </c>
      <c r="G235" s="384">
        <v>0</v>
      </c>
      <c r="H235" s="384">
        <v>0</v>
      </c>
      <c r="I235" s="384">
        <v>0</v>
      </c>
      <c r="J235" s="383">
        <v>23044</v>
      </c>
      <c r="K235" s="383">
        <v>23379</v>
      </c>
    </row>
    <row r="236" spans="1:11" x14ac:dyDescent="0.3">
      <c r="A236" t="s">
        <v>2223</v>
      </c>
      <c r="B236" t="s">
        <v>2446</v>
      </c>
      <c r="C236" t="s">
        <v>2460</v>
      </c>
      <c r="D236" s="383">
        <v>29619</v>
      </c>
      <c r="E236" s="384">
        <v>3360900567.6599998</v>
      </c>
      <c r="F236" s="384">
        <v>0</v>
      </c>
      <c r="G236" s="384">
        <v>0</v>
      </c>
      <c r="H236" s="384">
        <v>0</v>
      </c>
      <c r="I236" s="384">
        <v>0</v>
      </c>
      <c r="J236" s="383">
        <v>26242</v>
      </c>
      <c r="K236" s="383">
        <v>26658</v>
      </c>
    </row>
    <row r="237" spans="1:11" x14ac:dyDescent="0.3">
      <c r="A237" t="s">
        <v>2223</v>
      </c>
      <c r="B237" t="s">
        <v>2446</v>
      </c>
      <c r="C237" t="s">
        <v>2461</v>
      </c>
      <c r="D237" s="383">
        <v>14519</v>
      </c>
      <c r="E237" s="384">
        <v>1900889883.5799999</v>
      </c>
      <c r="F237" s="384">
        <v>0</v>
      </c>
      <c r="G237" s="384">
        <v>0</v>
      </c>
      <c r="H237" s="384">
        <v>0</v>
      </c>
      <c r="I237" s="384">
        <v>0</v>
      </c>
      <c r="J237" s="383">
        <v>13322</v>
      </c>
      <c r="K237" s="383">
        <v>13434</v>
      </c>
    </row>
    <row r="238" spans="1:11" x14ac:dyDescent="0.3">
      <c r="A238" t="s">
        <v>2223</v>
      </c>
      <c r="B238" t="s">
        <v>2446</v>
      </c>
      <c r="C238" t="s">
        <v>2462</v>
      </c>
      <c r="D238" s="383">
        <v>11977</v>
      </c>
      <c r="E238" s="384">
        <v>1710720051.29</v>
      </c>
      <c r="F238" s="384">
        <v>0</v>
      </c>
      <c r="G238" s="384">
        <v>0</v>
      </c>
      <c r="H238" s="384">
        <v>0</v>
      </c>
      <c r="I238" s="384">
        <v>0</v>
      </c>
      <c r="J238" s="383">
        <v>11212</v>
      </c>
      <c r="K238" s="383">
        <v>11270</v>
      </c>
    </row>
    <row r="239" spans="1:11" x14ac:dyDescent="0.3">
      <c r="A239" t="s">
        <v>2223</v>
      </c>
      <c r="B239" t="s">
        <v>2446</v>
      </c>
      <c r="C239" t="s">
        <v>2463</v>
      </c>
      <c r="D239" s="383">
        <v>6636</v>
      </c>
      <c r="E239" s="384">
        <v>988909255.45000005</v>
      </c>
      <c r="F239" s="384">
        <v>0</v>
      </c>
      <c r="G239" s="384">
        <v>0</v>
      </c>
      <c r="H239" s="384">
        <v>0</v>
      </c>
      <c r="I239" s="384">
        <v>0</v>
      </c>
      <c r="J239" s="383">
        <v>6342</v>
      </c>
      <c r="K239" s="383">
        <v>6376</v>
      </c>
    </row>
    <row r="240" spans="1:11" x14ac:dyDescent="0.3">
      <c r="A240" t="s">
        <v>2223</v>
      </c>
      <c r="B240" t="s">
        <v>2446</v>
      </c>
      <c r="C240" t="s">
        <v>2464</v>
      </c>
      <c r="D240" s="383">
        <v>3044</v>
      </c>
      <c r="E240" s="384">
        <v>462345778.98000002</v>
      </c>
      <c r="F240" s="384">
        <v>0</v>
      </c>
      <c r="G240" s="384">
        <v>0</v>
      </c>
      <c r="H240" s="384">
        <v>0</v>
      </c>
      <c r="I240" s="384">
        <v>0</v>
      </c>
      <c r="J240" s="383">
        <v>2963</v>
      </c>
      <c r="K240" s="383">
        <v>2972</v>
      </c>
    </row>
    <row r="241" spans="1:11" x14ac:dyDescent="0.3">
      <c r="A241" t="s">
        <v>2223</v>
      </c>
      <c r="B241" t="s">
        <v>2446</v>
      </c>
      <c r="C241" t="s">
        <v>2465</v>
      </c>
      <c r="D241" s="383">
        <v>27918</v>
      </c>
      <c r="E241" s="384">
        <v>1258985348.46</v>
      </c>
      <c r="F241" s="384">
        <v>0</v>
      </c>
      <c r="G241" s="384">
        <v>0</v>
      </c>
      <c r="H241" s="384">
        <v>0</v>
      </c>
      <c r="I241" s="384">
        <v>0</v>
      </c>
      <c r="J241" s="383">
        <v>25083</v>
      </c>
      <c r="K241" s="383">
        <v>26282</v>
      </c>
    </row>
    <row r="242" spans="1:11" x14ac:dyDescent="0.3">
      <c r="A242" t="s">
        <v>2223</v>
      </c>
      <c r="B242" t="s">
        <v>2446</v>
      </c>
      <c r="C242" t="s">
        <v>2466</v>
      </c>
      <c r="D242" s="383">
        <v>11179</v>
      </c>
      <c r="E242" s="384">
        <v>924071893.48000002</v>
      </c>
      <c r="F242" s="384">
        <v>0</v>
      </c>
      <c r="G242" s="384">
        <v>0</v>
      </c>
      <c r="H242" s="384">
        <v>0</v>
      </c>
      <c r="I242" s="384">
        <v>0</v>
      </c>
      <c r="J242" s="383">
        <v>10002</v>
      </c>
      <c r="K242" s="383">
        <v>10204</v>
      </c>
    </row>
    <row r="243" spans="1:11" x14ac:dyDescent="0.3">
      <c r="A243" t="s">
        <v>2223</v>
      </c>
      <c r="B243" t="s">
        <v>2446</v>
      </c>
      <c r="C243" t="s">
        <v>2467</v>
      </c>
      <c r="D243" s="383">
        <v>13108</v>
      </c>
      <c r="E243" s="384">
        <v>1268645953.5799999</v>
      </c>
      <c r="F243" s="384">
        <v>0</v>
      </c>
      <c r="G243" s="384">
        <v>0</v>
      </c>
      <c r="H243" s="384">
        <v>0</v>
      </c>
      <c r="I243" s="384">
        <v>0</v>
      </c>
      <c r="J243" s="383">
        <v>11597</v>
      </c>
      <c r="K243" s="383">
        <v>11889</v>
      </c>
    </row>
    <row r="244" spans="1:11" x14ac:dyDescent="0.3">
      <c r="A244" t="s">
        <v>2223</v>
      </c>
      <c r="B244" t="s">
        <v>2446</v>
      </c>
      <c r="C244" t="s">
        <v>2468</v>
      </c>
      <c r="D244" s="383">
        <v>14906</v>
      </c>
      <c r="E244" s="384">
        <v>1637044209.28</v>
      </c>
      <c r="F244" s="384">
        <v>0</v>
      </c>
      <c r="G244" s="384">
        <v>0</v>
      </c>
      <c r="H244" s="384">
        <v>0</v>
      </c>
      <c r="I244" s="384">
        <v>0</v>
      </c>
      <c r="J244" s="383">
        <v>13109</v>
      </c>
      <c r="K244" s="383">
        <v>13530</v>
      </c>
    </row>
    <row r="245" spans="1:11" x14ac:dyDescent="0.3">
      <c r="A245" t="s">
        <v>2223</v>
      </c>
      <c r="B245" t="s">
        <v>2446</v>
      </c>
      <c r="C245" t="s">
        <v>2469</v>
      </c>
      <c r="D245" s="383">
        <v>17230</v>
      </c>
      <c r="E245" s="384">
        <v>2254895016.23</v>
      </c>
      <c r="F245" s="384">
        <v>0</v>
      </c>
      <c r="G245" s="384">
        <v>0</v>
      </c>
      <c r="H245" s="384">
        <v>0</v>
      </c>
      <c r="I245" s="384">
        <v>0</v>
      </c>
      <c r="J245" s="383">
        <v>15361</v>
      </c>
      <c r="K245" s="383">
        <v>15878</v>
      </c>
    </row>
    <row r="246" spans="1:11" x14ac:dyDescent="0.3">
      <c r="A246" t="s">
        <v>2223</v>
      </c>
      <c r="B246" t="s">
        <v>2446</v>
      </c>
      <c r="C246" t="s">
        <v>2470</v>
      </c>
      <c r="D246" s="383">
        <v>8704</v>
      </c>
      <c r="E246" s="384">
        <v>1341728858.74</v>
      </c>
      <c r="F246" s="384">
        <v>0</v>
      </c>
      <c r="G246" s="384">
        <v>0</v>
      </c>
      <c r="H246" s="384">
        <v>0</v>
      </c>
      <c r="I246" s="384">
        <v>0</v>
      </c>
      <c r="J246" s="383">
        <v>8038</v>
      </c>
      <c r="K246" s="383">
        <v>8187</v>
      </c>
    </row>
    <row r="247" spans="1:11" x14ac:dyDescent="0.3">
      <c r="A247" t="s">
        <v>2223</v>
      </c>
      <c r="B247" t="s">
        <v>2446</v>
      </c>
      <c r="C247" t="s">
        <v>2471</v>
      </c>
      <c r="D247" s="383">
        <v>6758</v>
      </c>
      <c r="E247" s="384">
        <v>1133675157.1400001</v>
      </c>
      <c r="F247" s="384">
        <v>0</v>
      </c>
      <c r="G247" s="384">
        <v>0</v>
      </c>
      <c r="H247" s="384">
        <v>0</v>
      </c>
      <c r="I247" s="384">
        <v>0</v>
      </c>
      <c r="J247" s="383">
        <v>6361</v>
      </c>
      <c r="K247" s="383">
        <v>6440</v>
      </c>
    </row>
    <row r="248" spans="1:11" x14ac:dyDescent="0.3">
      <c r="A248" t="s">
        <v>2223</v>
      </c>
      <c r="B248" t="s">
        <v>2446</v>
      </c>
      <c r="C248" t="s">
        <v>2472</v>
      </c>
      <c r="D248" s="383">
        <v>4153</v>
      </c>
      <c r="E248" s="384">
        <v>718597704.75</v>
      </c>
      <c r="F248" s="384">
        <v>0</v>
      </c>
      <c r="G248" s="384">
        <v>0</v>
      </c>
      <c r="H248" s="384">
        <v>0</v>
      </c>
      <c r="I248" s="384">
        <v>0</v>
      </c>
      <c r="J248" s="383">
        <v>3972</v>
      </c>
      <c r="K248" s="383">
        <v>4012</v>
      </c>
    </row>
    <row r="249" spans="1:11" x14ac:dyDescent="0.3">
      <c r="A249" t="s">
        <v>2223</v>
      </c>
      <c r="B249" t="s">
        <v>2446</v>
      </c>
      <c r="C249" t="s">
        <v>2473</v>
      </c>
      <c r="D249" s="383">
        <v>2087</v>
      </c>
      <c r="E249" s="384">
        <v>368863628.06999999</v>
      </c>
      <c r="F249" s="384">
        <v>0</v>
      </c>
      <c r="G249" s="384">
        <v>0</v>
      </c>
      <c r="H249" s="384">
        <v>0</v>
      </c>
      <c r="I249" s="384">
        <v>0</v>
      </c>
      <c r="J249" s="383">
        <v>1994</v>
      </c>
      <c r="K249" s="383">
        <v>2013</v>
      </c>
    </row>
    <row r="250" spans="1:11" x14ac:dyDescent="0.3">
      <c r="A250" t="s">
        <v>2223</v>
      </c>
      <c r="B250" t="s">
        <v>2446</v>
      </c>
      <c r="C250" t="s">
        <v>2474</v>
      </c>
      <c r="D250" s="383">
        <v>29432</v>
      </c>
      <c r="E250" s="384">
        <v>854965209.66999996</v>
      </c>
      <c r="F250" s="384">
        <v>0</v>
      </c>
      <c r="G250" s="384">
        <v>0</v>
      </c>
      <c r="H250" s="384">
        <v>0</v>
      </c>
      <c r="I250" s="384">
        <v>0</v>
      </c>
      <c r="J250" s="383">
        <v>27637</v>
      </c>
      <c r="K250" s="383">
        <v>28159</v>
      </c>
    </row>
    <row r="251" spans="1:11" x14ac:dyDescent="0.3">
      <c r="A251" t="s">
        <v>2223</v>
      </c>
      <c r="B251" t="s">
        <v>2446</v>
      </c>
      <c r="C251" t="s">
        <v>2475</v>
      </c>
      <c r="D251" s="383">
        <v>5128</v>
      </c>
      <c r="E251" s="384">
        <v>305003424.26999998</v>
      </c>
      <c r="F251" s="384">
        <v>0</v>
      </c>
      <c r="G251" s="384">
        <v>0</v>
      </c>
      <c r="H251" s="384">
        <v>0</v>
      </c>
      <c r="I251" s="384">
        <v>0</v>
      </c>
      <c r="J251" s="383">
        <v>4735</v>
      </c>
      <c r="K251" s="383">
        <v>4789</v>
      </c>
    </row>
    <row r="252" spans="1:11" x14ac:dyDescent="0.3">
      <c r="A252" t="s">
        <v>2223</v>
      </c>
      <c r="B252" t="s">
        <v>2446</v>
      </c>
      <c r="C252" t="s">
        <v>2476</v>
      </c>
      <c r="D252" s="383">
        <v>4008</v>
      </c>
      <c r="E252" s="384">
        <v>278152845.11000001</v>
      </c>
      <c r="F252" s="384">
        <v>0</v>
      </c>
      <c r="G252" s="384">
        <v>0</v>
      </c>
      <c r="H252" s="384">
        <v>0</v>
      </c>
      <c r="I252" s="384">
        <v>0</v>
      </c>
      <c r="J252" s="383">
        <v>3667</v>
      </c>
      <c r="K252" s="383">
        <v>3714</v>
      </c>
    </row>
    <row r="253" spans="1:11" x14ac:dyDescent="0.3">
      <c r="A253" t="s">
        <v>2223</v>
      </c>
      <c r="B253" t="s">
        <v>2446</v>
      </c>
      <c r="C253" t="s">
        <v>2477</v>
      </c>
      <c r="D253" s="383">
        <v>3068</v>
      </c>
      <c r="E253" s="384">
        <v>248512098.50999999</v>
      </c>
      <c r="F253" s="384">
        <v>0</v>
      </c>
      <c r="G253" s="384">
        <v>0</v>
      </c>
      <c r="H253" s="384">
        <v>0</v>
      </c>
      <c r="I253" s="384">
        <v>0</v>
      </c>
      <c r="J253" s="383">
        <v>2796</v>
      </c>
      <c r="K253" s="383">
        <v>2823</v>
      </c>
    </row>
    <row r="254" spans="1:11" x14ac:dyDescent="0.3">
      <c r="A254" t="s">
        <v>2223</v>
      </c>
      <c r="B254" t="s">
        <v>2446</v>
      </c>
      <c r="C254" t="s">
        <v>2478</v>
      </c>
      <c r="D254" s="383">
        <v>1923</v>
      </c>
      <c r="E254" s="384">
        <v>185457676.61000001</v>
      </c>
      <c r="F254" s="384">
        <v>0</v>
      </c>
      <c r="G254" s="384">
        <v>0</v>
      </c>
      <c r="H254" s="384">
        <v>0</v>
      </c>
      <c r="I254" s="384">
        <v>0</v>
      </c>
      <c r="J254" s="383">
        <v>1774</v>
      </c>
      <c r="K254" s="383">
        <v>1796</v>
      </c>
    </row>
    <row r="255" spans="1:11" x14ac:dyDescent="0.3">
      <c r="A255" t="s">
        <v>2223</v>
      </c>
      <c r="B255" t="s">
        <v>2446</v>
      </c>
      <c r="C255" t="s">
        <v>2479</v>
      </c>
      <c r="D255" s="383">
        <v>579</v>
      </c>
      <c r="E255" s="384">
        <v>68243465.280000001</v>
      </c>
      <c r="F255" s="384">
        <v>0</v>
      </c>
      <c r="G255" s="384">
        <v>0</v>
      </c>
      <c r="H255" s="384">
        <v>0</v>
      </c>
      <c r="I255" s="384">
        <v>0</v>
      </c>
      <c r="J255" s="383">
        <v>549</v>
      </c>
      <c r="K255" s="383">
        <v>554</v>
      </c>
    </row>
    <row r="256" spans="1:11" x14ac:dyDescent="0.3">
      <c r="A256" t="s">
        <v>2223</v>
      </c>
      <c r="B256" t="s">
        <v>2446</v>
      </c>
      <c r="C256" t="s">
        <v>2480</v>
      </c>
      <c r="D256" s="383">
        <v>324</v>
      </c>
      <c r="E256" s="384">
        <v>39726001.420000002</v>
      </c>
      <c r="F256" s="384">
        <v>0</v>
      </c>
      <c r="G256" s="384">
        <v>0</v>
      </c>
      <c r="H256" s="384">
        <v>0</v>
      </c>
      <c r="I256" s="384">
        <v>0</v>
      </c>
      <c r="J256" s="383">
        <v>316</v>
      </c>
      <c r="K256" s="383">
        <v>318</v>
      </c>
    </row>
    <row r="257" spans="1:11" x14ac:dyDescent="0.3">
      <c r="A257" t="s">
        <v>2223</v>
      </c>
      <c r="B257" t="s">
        <v>2446</v>
      </c>
      <c r="C257" t="s">
        <v>2481</v>
      </c>
      <c r="D257" s="383">
        <v>171</v>
      </c>
      <c r="E257" s="384">
        <v>22992241.899999999</v>
      </c>
      <c r="F257" s="384">
        <v>0</v>
      </c>
      <c r="G257" s="384">
        <v>0</v>
      </c>
      <c r="H257" s="384">
        <v>0</v>
      </c>
      <c r="I257" s="384">
        <v>0</v>
      </c>
      <c r="J257" s="383">
        <v>167</v>
      </c>
      <c r="K257" s="383">
        <v>170</v>
      </c>
    </row>
    <row r="258" spans="1:11" x14ac:dyDescent="0.3">
      <c r="A258" t="s">
        <v>2223</v>
      </c>
      <c r="B258" t="s">
        <v>2446</v>
      </c>
      <c r="C258" t="s">
        <v>2482</v>
      </c>
      <c r="D258" s="383">
        <v>79</v>
      </c>
      <c r="E258" s="384">
        <v>11395187.449999999</v>
      </c>
      <c r="F258" s="384">
        <v>0</v>
      </c>
      <c r="G258" s="384">
        <v>0</v>
      </c>
      <c r="H258" s="384">
        <v>0</v>
      </c>
      <c r="I258" s="384">
        <v>0</v>
      </c>
      <c r="J258" s="383">
        <v>77</v>
      </c>
      <c r="K258" s="383">
        <v>77</v>
      </c>
    </row>
    <row r="259" spans="1:11" x14ac:dyDescent="0.3">
      <c r="A259" t="s">
        <v>2223</v>
      </c>
      <c r="B259" t="s">
        <v>2446</v>
      </c>
      <c r="C259" t="s">
        <v>2483</v>
      </c>
      <c r="D259" s="383">
        <v>145735</v>
      </c>
      <c r="E259" s="384">
        <v>5387817559.2700005</v>
      </c>
      <c r="F259" s="384">
        <v>0</v>
      </c>
      <c r="G259" s="384">
        <v>0</v>
      </c>
      <c r="H259" s="384">
        <v>0</v>
      </c>
      <c r="I259" s="384">
        <v>0</v>
      </c>
      <c r="J259" s="383">
        <v>130207</v>
      </c>
      <c r="K259" s="383">
        <v>133389</v>
      </c>
    </row>
    <row r="260" spans="1:11" x14ac:dyDescent="0.3">
      <c r="A260" t="s">
        <v>2223</v>
      </c>
      <c r="B260" t="s">
        <v>2446</v>
      </c>
      <c r="C260" t="s">
        <v>2484</v>
      </c>
      <c r="D260" s="383">
        <v>59766</v>
      </c>
      <c r="E260" s="384">
        <v>4167095407.8699999</v>
      </c>
      <c r="F260" s="384">
        <v>0</v>
      </c>
      <c r="G260" s="384">
        <v>0</v>
      </c>
      <c r="H260" s="384">
        <v>0</v>
      </c>
      <c r="I260" s="384">
        <v>0</v>
      </c>
      <c r="J260" s="383">
        <v>51637</v>
      </c>
      <c r="K260" s="383">
        <v>52306</v>
      </c>
    </row>
    <row r="261" spans="1:11" x14ac:dyDescent="0.3">
      <c r="A261" t="s">
        <v>2223</v>
      </c>
      <c r="B261" t="s">
        <v>2446</v>
      </c>
      <c r="C261" t="s">
        <v>2485</v>
      </c>
      <c r="D261" s="383">
        <v>74084</v>
      </c>
      <c r="E261" s="384">
        <v>6016644012.8299999</v>
      </c>
      <c r="F261" s="384">
        <v>0</v>
      </c>
      <c r="G261" s="384">
        <v>0</v>
      </c>
      <c r="H261" s="384">
        <v>0</v>
      </c>
      <c r="I261" s="384">
        <v>0</v>
      </c>
      <c r="J261" s="383">
        <v>62932</v>
      </c>
      <c r="K261" s="383">
        <v>63809</v>
      </c>
    </row>
    <row r="262" spans="1:11" x14ac:dyDescent="0.3">
      <c r="A262" t="s">
        <v>2223</v>
      </c>
      <c r="B262" t="s">
        <v>2446</v>
      </c>
      <c r="C262" t="s">
        <v>2486</v>
      </c>
      <c r="D262" s="383">
        <v>85367</v>
      </c>
      <c r="E262" s="384">
        <v>7858323137.3500004</v>
      </c>
      <c r="F262" s="384">
        <v>0</v>
      </c>
      <c r="G262" s="384">
        <v>0</v>
      </c>
      <c r="H262" s="384">
        <v>0</v>
      </c>
      <c r="I262" s="384">
        <v>0</v>
      </c>
      <c r="J262" s="383">
        <v>71720</v>
      </c>
      <c r="K262" s="383">
        <v>72902</v>
      </c>
    </row>
    <row r="263" spans="1:11" x14ac:dyDescent="0.3">
      <c r="A263" t="s">
        <v>2223</v>
      </c>
      <c r="B263" t="s">
        <v>2446</v>
      </c>
      <c r="C263" t="s">
        <v>2487</v>
      </c>
      <c r="D263" s="383">
        <v>99612</v>
      </c>
      <c r="E263" s="384">
        <v>10811938523.77</v>
      </c>
      <c r="F263" s="384">
        <v>0</v>
      </c>
      <c r="G263" s="384">
        <v>0</v>
      </c>
      <c r="H263" s="384">
        <v>0</v>
      </c>
      <c r="I263" s="384">
        <v>0</v>
      </c>
      <c r="J263" s="383">
        <v>84162</v>
      </c>
      <c r="K263" s="383">
        <v>85651</v>
      </c>
    </row>
    <row r="264" spans="1:11" x14ac:dyDescent="0.3">
      <c r="A264" t="s">
        <v>2223</v>
      </c>
      <c r="B264" t="s">
        <v>2446</v>
      </c>
      <c r="C264" t="s">
        <v>2488</v>
      </c>
      <c r="D264" s="383">
        <v>51010</v>
      </c>
      <c r="E264" s="384">
        <v>6620384707.1400003</v>
      </c>
      <c r="F264" s="384">
        <v>0</v>
      </c>
      <c r="G264" s="384">
        <v>0</v>
      </c>
      <c r="H264" s="384">
        <v>0</v>
      </c>
      <c r="I264" s="384">
        <v>0</v>
      </c>
      <c r="J264" s="383">
        <v>45466</v>
      </c>
      <c r="K264" s="383">
        <v>45830</v>
      </c>
    </row>
    <row r="265" spans="1:11" x14ac:dyDescent="0.3">
      <c r="A265" t="s">
        <v>2223</v>
      </c>
      <c r="B265" t="s">
        <v>2446</v>
      </c>
      <c r="C265" t="s">
        <v>2489</v>
      </c>
      <c r="D265" s="383">
        <v>44694</v>
      </c>
      <c r="E265" s="384">
        <v>6267230242.3599997</v>
      </c>
      <c r="F265" s="384">
        <v>0</v>
      </c>
      <c r="G265" s="384">
        <v>0</v>
      </c>
      <c r="H265" s="384">
        <v>0</v>
      </c>
      <c r="I265" s="384">
        <v>0</v>
      </c>
      <c r="J265" s="383">
        <v>40628</v>
      </c>
      <c r="K265" s="383">
        <v>40867</v>
      </c>
    </row>
    <row r="266" spans="1:11" x14ac:dyDescent="0.3">
      <c r="A266" t="s">
        <v>2223</v>
      </c>
      <c r="B266" t="s">
        <v>2446</v>
      </c>
      <c r="C266" t="s">
        <v>2490</v>
      </c>
      <c r="D266" s="383">
        <v>26388</v>
      </c>
      <c r="E266" s="384">
        <v>3876169830.6500001</v>
      </c>
      <c r="F266" s="384">
        <v>0</v>
      </c>
      <c r="G266" s="384">
        <v>0</v>
      </c>
      <c r="H266" s="384">
        <v>0</v>
      </c>
      <c r="I266" s="384">
        <v>0</v>
      </c>
      <c r="J266" s="383">
        <v>24772</v>
      </c>
      <c r="K266" s="383">
        <v>24894</v>
      </c>
    </row>
    <row r="267" spans="1:11" x14ac:dyDescent="0.3">
      <c r="A267" t="s">
        <v>2223</v>
      </c>
      <c r="B267" t="s">
        <v>2446</v>
      </c>
      <c r="C267" t="s">
        <v>2491</v>
      </c>
      <c r="D267" s="383">
        <v>11891</v>
      </c>
      <c r="E267" s="384">
        <v>1824728871.97</v>
      </c>
      <c r="F267" s="384">
        <v>0</v>
      </c>
      <c r="G267" s="384">
        <v>0</v>
      </c>
      <c r="H267" s="384">
        <v>0</v>
      </c>
      <c r="I267" s="384">
        <v>0</v>
      </c>
      <c r="J267" s="383">
        <v>11408</v>
      </c>
      <c r="K267" s="383">
        <v>11456</v>
      </c>
    </row>
    <row r="268" spans="1:11" x14ac:dyDescent="0.3">
      <c r="A268" t="s">
        <v>2223</v>
      </c>
      <c r="B268" t="s">
        <v>2492</v>
      </c>
      <c r="C268" t="s">
        <v>2447</v>
      </c>
      <c r="D268" s="383">
        <v>12271</v>
      </c>
      <c r="E268" s="384">
        <v>491904608.95999998</v>
      </c>
      <c r="F268" s="384">
        <v>0</v>
      </c>
      <c r="G268" s="384">
        <v>0</v>
      </c>
      <c r="H268" s="384">
        <v>0</v>
      </c>
      <c r="I268" s="384">
        <v>0</v>
      </c>
      <c r="J268" s="383">
        <v>11059</v>
      </c>
      <c r="K268" s="383">
        <v>11540</v>
      </c>
    </row>
    <row r="269" spans="1:11" x14ac:dyDescent="0.3">
      <c r="A269" t="s">
        <v>2223</v>
      </c>
      <c r="B269" t="s">
        <v>2492</v>
      </c>
      <c r="C269" t="s">
        <v>2448</v>
      </c>
      <c r="D269" s="383">
        <v>4361</v>
      </c>
      <c r="E269" s="384">
        <v>318745284.73000002</v>
      </c>
      <c r="F269" s="384">
        <v>0</v>
      </c>
      <c r="G269" s="384">
        <v>0</v>
      </c>
      <c r="H269" s="384">
        <v>0</v>
      </c>
      <c r="I269" s="384">
        <v>0</v>
      </c>
      <c r="J269" s="383">
        <v>3867</v>
      </c>
      <c r="K269" s="383">
        <v>3976</v>
      </c>
    </row>
    <row r="270" spans="1:11" x14ac:dyDescent="0.3">
      <c r="A270" t="s">
        <v>2223</v>
      </c>
      <c r="B270" t="s">
        <v>2492</v>
      </c>
      <c r="C270" t="s">
        <v>2449</v>
      </c>
      <c r="D270" s="383">
        <v>4728</v>
      </c>
      <c r="E270" s="384">
        <v>419145135.79000002</v>
      </c>
      <c r="F270" s="384">
        <v>0</v>
      </c>
      <c r="G270" s="384">
        <v>0</v>
      </c>
      <c r="H270" s="384">
        <v>0</v>
      </c>
      <c r="I270" s="384">
        <v>0</v>
      </c>
      <c r="J270" s="383">
        <v>4172</v>
      </c>
      <c r="K270" s="383">
        <v>4267</v>
      </c>
    </row>
    <row r="271" spans="1:11" x14ac:dyDescent="0.3">
      <c r="A271" t="s">
        <v>2223</v>
      </c>
      <c r="B271" t="s">
        <v>2492</v>
      </c>
      <c r="C271" t="s">
        <v>2450</v>
      </c>
      <c r="D271" s="383">
        <v>4732</v>
      </c>
      <c r="E271" s="384">
        <v>483731512.72000003</v>
      </c>
      <c r="F271" s="384">
        <v>0</v>
      </c>
      <c r="G271" s="384">
        <v>0</v>
      </c>
      <c r="H271" s="384">
        <v>0</v>
      </c>
      <c r="I271" s="384">
        <v>0</v>
      </c>
      <c r="J271" s="383">
        <v>4136</v>
      </c>
      <c r="K271" s="383">
        <v>4281</v>
      </c>
    </row>
    <row r="272" spans="1:11" x14ac:dyDescent="0.3">
      <c r="A272" t="s">
        <v>2223</v>
      </c>
      <c r="B272" t="s">
        <v>2492</v>
      </c>
      <c r="C272" t="s">
        <v>2451</v>
      </c>
      <c r="D272" s="383">
        <v>4884</v>
      </c>
      <c r="E272" s="384">
        <v>585202732.29999995</v>
      </c>
      <c r="F272" s="384">
        <v>0</v>
      </c>
      <c r="G272" s="384">
        <v>0</v>
      </c>
      <c r="H272" s="384">
        <v>0</v>
      </c>
      <c r="I272" s="384">
        <v>0</v>
      </c>
      <c r="J272" s="383">
        <v>4317</v>
      </c>
      <c r="K272" s="383">
        <v>4481</v>
      </c>
    </row>
    <row r="273" spans="1:11" x14ac:dyDescent="0.3">
      <c r="A273" t="s">
        <v>2223</v>
      </c>
      <c r="B273" t="s">
        <v>2492</v>
      </c>
      <c r="C273" t="s">
        <v>2452</v>
      </c>
      <c r="D273" s="383">
        <v>2273</v>
      </c>
      <c r="E273" s="384">
        <v>317642959.54000002</v>
      </c>
      <c r="F273" s="384">
        <v>0</v>
      </c>
      <c r="G273" s="384">
        <v>0</v>
      </c>
      <c r="H273" s="384">
        <v>0</v>
      </c>
      <c r="I273" s="384">
        <v>0</v>
      </c>
      <c r="J273" s="383">
        <v>2090</v>
      </c>
      <c r="K273" s="383">
        <v>2143</v>
      </c>
    </row>
    <row r="274" spans="1:11" x14ac:dyDescent="0.3">
      <c r="A274" t="s">
        <v>2223</v>
      </c>
      <c r="B274" t="s">
        <v>2492</v>
      </c>
      <c r="C274" t="s">
        <v>2453</v>
      </c>
      <c r="D274" s="383">
        <v>2071</v>
      </c>
      <c r="E274" s="384">
        <v>312564472.07999998</v>
      </c>
      <c r="F274" s="384">
        <v>0</v>
      </c>
      <c r="G274" s="384">
        <v>0</v>
      </c>
      <c r="H274" s="384">
        <v>0</v>
      </c>
      <c r="I274" s="384">
        <v>0</v>
      </c>
      <c r="J274" s="383">
        <v>1931</v>
      </c>
      <c r="K274" s="383">
        <v>1966</v>
      </c>
    </row>
    <row r="275" spans="1:11" x14ac:dyDescent="0.3">
      <c r="A275" t="s">
        <v>2223</v>
      </c>
      <c r="B275" t="s">
        <v>2492</v>
      </c>
      <c r="C275" t="s">
        <v>2454</v>
      </c>
      <c r="D275" s="383">
        <v>1551</v>
      </c>
      <c r="E275" s="384">
        <v>252599044.88999999</v>
      </c>
      <c r="F275" s="384">
        <v>0</v>
      </c>
      <c r="G275" s="384">
        <v>0</v>
      </c>
      <c r="H275" s="384">
        <v>0</v>
      </c>
      <c r="I275" s="384">
        <v>0</v>
      </c>
      <c r="J275" s="383">
        <v>1475</v>
      </c>
      <c r="K275" s="383">
        <v>1506</v>
      </c>
    </row>
    <row r="276" spans="1:11" x14ac:dyDescent="0.3">
      <c r="A276" t="s">
        <v>2223</v>
      </c>
      <c r="B276" t="s">
        <v>2492</v>
      </c>
      <c r="C276" t="s">
        <v>2455</v>
      </c>
      <c r="D276" s="383">
        <v>932</v>
      </c>
      <c r="E276" s="384">
        <v>155153991.16999999</v>
      </c>
      <c r="F276" s="384">
        <v>0</v>
      </c>
      <c r="G276" s="384">
        <v>0</v>
      </c>
      <c r="H276" s="384">
        <v>0</v>
      </c>
      <c r="I276" s="384">
        <v>0</v>
      </c>
      <c r="J276" s="383">
        <v>885</v>
      </c>
      <c r="K276" s="383">
        <v>914</v>
      </c>
    </row>
    <row r="277" spans="1:11" x14ac:dyDescent="0.3">
      <c r="A277" t="s">
        <v>2223</v>
      </c>
      <c r="B277" t="s">
        <v>2492</v>
      </c>
      <c r="C277" t="s">
        <v>2456</v>
      </c>
      <c r="D277" s="383">
        <v>49736</v>
      </c>
      <c r="E277" s="384">
        <v>1910417587.1199999</v>
      </c>
      <c r="F277" s="384">
        <v>0</v>
      </c>
      <c r="G277" s="384">
        <v>0</v>
      </c>
      <c r="H277" s="384">
        <v>0</v>
      </c>
      <c r="I277" s="384">
        <v>0</v>
      </c>
      <c r="J277" s="383">
        <v>45727</v>
      </c>
      <c r="K277" s="383">
        <v>46684</v>
      </c>
    </row>
    <row r="278" spans="1:11" x14ac:dyDescent="0.3">
      <c r="A278" t="s">
        <v>2223</v>
      </c>
      <c r="B278" t="s">
        <v>2492</v>
      </c>
      <c r="C278" t="s">
        <v>2457</v>
      </c>
      <c r="D278" s="383">
        <v>19200</v>
      </c>
      <c r="E278" s="384">
        <v>1381586454.05</v>
      </c>
      <c r="F278" s="384">
        <v>0</v>
      </c>
      <c r="G278" s="384">
        <v>0</v>
      </c>
      <c r="H278" s="384">
        <v>0</v>
      </c>
      <c r="I278" s="384">
        <v>0</v>
      </c>
      <c r="J278" s="383">
        <v>17262</v>
      </c>
      <c r="K278" s="383">
        <v>17442</v>
      </c>
    </row>
    <row r="279" spans="1:11" x14ac:dyDescent="0.3">
      <c r="A279" t="s">
        <v>2223</v>
      </c>
      <c r="B279" t="s">
        <v>2492</v>
      </c>
      <c r="C279" t="s">
        <v>2458</v>
      </c>
      <c r="D279" s="383">
        <v>23175</v>
      </c>
      <c r="E279" s="384">
        <v>1957613312.5699999</v>
      </c>
      <c r="F279" s="384">
        <v>0</v>
      </c>
      <c r="G279" s="384">
        <v>0</v>
      </c>
      <c r="H279" s="384">
        <v>0</v>
      </c>
      <c r="I279" s="384">
        <v>0</v>
      </c>
      <c r="J279" s="383">
        <v>20562</v>
      </c>
      <c r="K279" s="383">
        <v>20831</v>
      </c>
    </row>
    <row r="280" spans="1:11" x14ac:dyDescent="0.3">
      <c r="A280" t="s">
        <v>2223</v>
      </c>
      <c r="B280" t="s">
        <v>2492</v>
      </c>
      <c r="C280" t="s">
        <v>2459</v>
      </c>
      <c r="D280" s="383">
        <v>26213</v>
      </c>
      <c r="E280" s="384">
        <v>2514705627</v>
      </c>
      <c r="F280" s="384">
        <v>0</v>
      </c>
      <c r="G280" s="384">
        <v>0</v>
      </c>
      <c r="H280" s="384">
        <v>0</v>
      </c>
      <c r="I280" s="384">
        <v>0</v>
      </c>
      <c r="J280" s="383">
        <v>23044</v>
      </c>
      <c r="K280" s="383">
        <v>23379</v>
      </c>
    </row>
    <row r="281" spans="1:11" x14ac:dyDescent="0.3">
      <c r="A281" t="s">
        <v>2223</v>
      </c>
      <c r="B281" t="s">
        <v>2492</v>
      </c>
      <c r="C281" t="s">
        <v>2460</v>
      </c>
      <c r="D281" s="383">
        <v>29619</v>
      </c>
      <c r="E281" s="384">
        <v>3360900567.6599998</v>
      </c>
      <c r="F281" s="384">
        <v>0</v>
      </c>
      <c r="G281" s="384">
        <v>0</v>
      </c>
      <c r="H281" s="384">
        <v>0</v>
      </c>
      <c r="I281" s="384">
        <v>0</v>
      </c>
      <c r="J281" s="383">
        <v>26242</v>
      </c>
      <c r="K281" s="383">
        <v>26658</v>
      </c>
    </row>
    <row r="282" spans="1:11" x14ac:dyDescent="0.3">
      <c r="A282" t="s">
        <v>2223</v>
      </c>
      <c r="B282" t="s">
        <v>2492</v>
      </c>
      <c r="C282" t="s">
        <v>2461</v>
      </c>
      <c r="D282" s="383">
        <v>14519</v>
      </c>
      <c r="E282" s="384">
        <v>1900889883.5799999</v>
      </c>
      <c r="F282" s="384">
        <v>0</v>
      </c>
      <c r="G282" s="384">
        <v>0</v>
      </c>
      <c r="H282" s="384">
        <v>0</v>
      </c>
      <c r="I282" s="384">
        <v>0</v>
      </c>
      <c r="J282" s="383">
        <v>13322</v>
      </c>
      <c r="K282" s="383">
        <v>13434</v>
      </c>
    </row>
    <row r="283" spans="1:11" x14ac:dyDescent="0.3">
      <c r="A283" t="s">
        <v>2223</v>
      </c>
      <c r="B283" t="s">
        <v>2492</v>
      </c>
      <c r="C283" t="s">
        <v>2462</v>
      </c>
      <c r="D283" s="383">
        <v>11977</v>
      </c>
      <c r="E283" s="384">
        <v>1710720051.29</v>
      </c>
      <c r="F283" s="384">
        <v>0</v>
      </c>
      <c r="G283" s="384">
        <v>0</v>
      </c>
      <c r="H283" s="384">
        <v>0</v>
      </c>
      <c r="I283" s="384">
        <v>0</v>
      </c>
      <c r="J283" s="383">
        <v>11212</v>
      </c>
      <c r="K283" s="383">
        <v>11270</v>
      </c>
    </row>
    <row r="284" spans="1:11" x14ac:dyDescent="0.3">
      <c r="A284" t="s">
        <v>2223</v>
      </c>
      <c r="B284" t="s">
        <v>2492</v>
      </c>
      <c r="C284" t="s">
        <v>2463</v>
      </c>
      <c r="D284" s="383">
        <v>6636</v>
      </c>
      <c r="E284" s="384">
        <v>988909255.45000005</v>
      </c>
      <c r="F284" s="384">
        <v>0</v>
      </c>
      <c r="G284" s="384">
        <v>0</v>
      </c>
      <c r="H284" s="384">
        <v>0</v>
      </c>
      <c r="I284" s="384">
        <v>0</v>
      </c>
      <c r="J284" s="383">
        <v>6342</v>
      </c>
      <c r="K284" s="383">
        <v>6376</v>
      </c>
    </row>
    <row r="285" spans="1:11" x14ac:dyDescent="0.3">
      <c r="A285" t="s">
        <v>2223</v>
      </c>
      <c r="B285" t="s">
        <v>2492</v>
      </c>
      <c r="C285" t="s">
        <v>2464</v>
      </c>
      <c r="D285" s="383">
        <v>3044</v>
      </c>
      <c r="E285" s="384">
        <v>462345778.98000002</v>
      </c>
      <c r="F285" s="384">
        <v>0</v>
      </c>
      <c r="G285" s="384">
        <v>0</v>
      </c>
      <c r="H285" s="384">
        <v>0</v>
      </c>
      <c r="I285" s="384">
        <v>0</v>
      </c>
      <c r="J285" s="383">
        <v>2963</v>
      </c>
      <c r="K285" s="383">
        <v>2972</v>
      </c>
    </row>
    <row r="286" spans="1:11" x14ac:dyDescent="0.3">
      <c r="A286" t="s">
        <v>2223</v>
      </c>
      <c r="B286" t="s">
        <v>2492</v>
      </c>
      <c r="C286" t="s">
        <v>2465</v>
      </c>
      <c r="D286" s="383">
        <v>27918</v>
      </c>
      <c r="E286" s="384">
        <v>1258985348.46</v>
      </c>
      <c r="F286" s="384">
        <v>0</v>
      </c>
      <c r="G286" s="384">
        <v>0</v>
      </c>
      <c r="H286" s="384">
        <v>0</v>
      </c>
      <c r="I286" s="384">
        <v>0</v>
      </c>
      <c r="J286" s="383">
        <v>25083</v>
      </c>
      <c r="K286" s="383">
        <v>26282</v>
      </c>
    </row>
    <row r="287" spans="1:11" x14ac:dyDescent="0.3">
      <c r="A287" t="s">
        <v>2223</v>
      </c>
      <c r="B287" t="s">
        <v>2492</v>
      </c>
      <c r="C287" t="s">
        <v>2466</v>
      </c>
      <c r="D287" s="383">
        <v>11179</v>
      </c>
      <c r="E287" s="384">
        <v>924071893.48000002</v>
      </c>
      <c r="F287" s="384">
        <v>0</v>
      </c>
      <c r="G287" s="384">
        <v>0</v>
      </c>
      <c r="H287" s="384">
        <v>0</v>
      </c>
      <c r="I287" s="384">
        <v>0</v>
      </c>
      <c r="J287" s="383">
        <v>10002</v>
      </c>
      <c r="K287" s="383">
        <v>10204</v>
      </c>
    </row>
    <row r="288" spans="1:11" x14ac:dyDescent="0.3">
      <c r="A288" t="s">
        <v>2223</v>
      </c>
      <c r="B288" t="s">
        <v>2492</v>
      </c>
      <c r="C288" t="s">
        <v>2467</v>
      </c>
      <c r="D288" s="383">
        <v>13108</v>
      </c>
      <c r="E288" s="384">
        <v>1268645953.5799999</v>
      </c>
      <c r="F288" s="384">
        <v>0</v>
      </c>
      <c r="G288" s="384">
        <v>0</v>
      </c>
      <c r="H288" s="384">
        <v>0</v>
      </c>
      <c r="I288" s="384">
        <v>0</v>
      </c>
      <c r="J288" s="383">
        <v>11597</v>
      </c>
      <c r="K288" s="383">
        <v>11889</v>
      </c>
    </row>
    <row r="289" spans="1:11" x14ac:dyDescent="0.3">
      <c r="A289" t="s">
        <v>2223</v>
      </c>
      <c r="B289" t="s">
        <v>2492</v>
      </c>
      <c r="C289" t="s">
        <v>2468</v>
      </c>
      <c r="D289" s="383">
        <v>14906</v>
      </c>
      <c r="E289" s="384">
        <v>1637044209.28</v>
      </c>
      <c r="F289" s="384">
        <v>0</v>
      </c>
      <c r="G289" s="384">
        <v>0</v>
      </c>
      <c r="H289" s="384">
        <v>0</v>
      </c>
      <c r="I289" s="384">
        <v>0</v>
      </c>
      <c r="J289" s="383">
        <v>13109</v>
      </c>
      <c r="K289" s="383">
        <v>13530</v>
      </c>
    </row>
    <row r="290" spans="1:11" x14ac:dyDescent="0.3">
      <c r="A290" t="s">
        <v>2223</v>
      </c>
      <c r="B290" t="s">
        <v>2492</v>
      </c>
      <c r="C290" t="s">
        <v>2469</v>
      </c>
      <c r="D290" s="383">
        <v>17230</v>
      </c>
      <c r="E290" s="384">
        <v>2254895016.23</v>
      </c>
      <c r="F290" s="384">
        <v>0</v>
      </c>
      <c r="G290" s="384">
        <v>0</v>
      </c>
      <c r="H290" s="384">
        <v>0</v>
      </c>
      <c r="I290" s="384">
        <v>0</v>
      </c>
      <c r="J290" s="383">
        <v>15361</v>
      </c>
      <c r="K290" s="383">
        <v>15878</v>
      </c>
    </row>
    <row r="291" spans="1:11" x14ac:dyDescent="0.3">
      <c r="A291" t="s">
        <v>2223</v>
      </c>
      <c r="B291" t="s">
        <v>2492</v>
      </c>
      <c r="C291" t="s">
        <v>2470</v>
      </c>
      <c r="D291" s="383">
        <v>8704</v>
      </c>
      <c r="E291" s="384">
        <v>1341728858.74</v>
      </c>
      <c r="F291" s="384">
        <v>0</v>
      </c>
      <c r="G291" s="384">
        <v>0</v>
      </c>
      <c r="H291" s="384">
        <v>0</v>
      </c>
      <c r="I291" s="384">
        <v>0</v>
      </c>
      <c r="J291" s="383">
        <v>8038</v>
      </c>
      <c r="K291" s="383">
        <v>8187</v>
      </c>
    </row>
    <row r="292" spans="1:11" x14ac:dyDescent="0.3">
      <c r="A292" t="s">
        <v>2223</v>
      </c>
      <c r="B292" t="s">
        <v>2492</v>
      </c>
      <c r="C292" t="s">
        <v>2471</v>
      </c>
      <c r="D292" s="383">
        <v>6758</v>
      </c>
      <c r="E292" s="384">
        <v>1133675157.1400001</v>
      </c>
      <c r="F292" s="384">
        <v>0</v>
      </c>
      <c r="G292" s="384">
        <v>0</v>
      </c>
      <c r="H292" s="384">
        <v>0</v>
      </c>
      <c r="I292" s="384">
        <v>0</v>
      </c>
      <c r="J292" s="383">
        <v>6361</v>
      </c>
      <c r="K292" s="383">
        <v>6440</v>
      </c>
    </row>
    <row r="293" spans="1:11" x14ac:dyDescent="0.3">
      <c r="A293" t="s">
        <v>2223</v>
      </c>
      <c r="B293" t="s">
        <v>2492</v>
      </c>
      <c r="C293" t="s">
        <v>2472</v>
      </c>
      <c r="D293" s="383">
        <v>4153</v>
      </c>
      <c r="E293" s="384">
        <v>718597704.75</v>
      </c>
      <c r="F293" s="384">
        <v>0</v>
      </c>
      <c r="G293" s="384">
        <v>0</v>
      </c>
      <c r="H293" s="384">
        <v>0</v>
      </c>
      <c r="I293" s="384">
        <v>0</v>
      </c>
      <c r="J293" s="383">
        <v>3972</v>
      </c>
      <c r="K293" s="383">
        <v>4012</v>
      </c>
    </row>
    <row r="294" spans="1:11" x14ac:dyDescent="0.3">
      <c r="A294" t="s">
        <v>2223</v>
      </c>
      <c r="B294" t="s">
        <v>2492</v>
      </c>
      <c r="C294" t="s">
        <v>2473</v>
      </c>
      <c r="D294" s="383">
        <v>2087</v>
      </c>
      <c r="E294" s="384">
        <v>368863628.06999999</v>
      </c>
      <c r="F294" s="384">
        <v>0</v>
      </c>
      <c r="G294" s="384">
        <v>0</v>
      </c>
      <c r="H294" s="384">
        <v>0</v>
      </c>
      <c r="I294" s="384">
        <v>0</v>
      </c>
      <c r="J294" s="383">
        <v>1994</v>
      </c>
      <c r="K294" s="383">
        <v>2013</v>
      </c>
    </row>
    <row r="295" spans="1:11" x14ac:dyDescent="0.3">
      <c r="A295" t="s">
        <v>2223</v>
      </c>
      <c r="B295" t="s">
        <v>2492</v>
      </c>
      <c r="C295" t="s">
        <v>2474</v>
      </c>
      <c r="D295" s="383">
        <v>29</v>
      </c>
      <c r="E295" s="384">
        <v>1768842.97</v>
      </c>
      <c r="F295" s="384">
        <v>0</v>
      </c>
      <c r="G295" s="384">
        <v>0</v>
      </c>
      <c r="H295" s="384">
        <v>0</v>
      </c>
      <c r="I295" s="384">
        <v>0</v>
      </c>
      <c r="J295" s="383">
        <v>25</v>
      </c>
      <c r="K295" s="383">
        <v>29</v>
      </c>
    </row>
    <row r="296" spans="1:11" x14ac:dyDescent="0.3">
      <c r="A296" t="s">
        <v>2223</v>
      </c>
      <c r="B296" t="s">
        <v>2492</v>
      </c>
      <c r="C296" t="s">
        <v>2475</v>
      </c>
      <c r="D296" s="383">
        <v>8</v>
      </c>
      <c r="E296" s="384">
        <v>1173555.45</v>
      </c>
      <c r="F296" s="384">
        <v>0</v>
      </c>
      <c r="G296" s="384">
        <v>0</v>
      </c>
      <c r="H296" s="384">
        <v>0</v>
      </c>
      <c r="I296" s="384">
        <v>0</v>
      </c>
      <c r="J296" s="383">
        <v>8</v>
      </c>
      <c r="K296" s="383">
        <v>8</v>
      </c>
    </row>
    <row r="297" spans="1:11" x14ac:dyDescent="0.3">
      <c r="A297" t="s">
        <v>2223</v>
      </c>
      <c r="B297" t="s">
        <v>2492</v>
      </c>
      <c r="C297" t="s">
        <v>2476</v>
      </c>
      <c r="D297" s="383">
        <v>7</v>
      </c>
      <c r="E297" s="384">
        <v>554881.15</v>
      </c>
      <c r="F297" s="384">
        <v>0</v>
      </c>
      <c r="G297" s="384">
        <v>0</v>
      </c>
      <c r="H297" s="384">
        <v>0</v>
      </c>
      <c r="I297" s="384">
        <v>0</v>
      </c>
      <c r="J297" s="383">
        <v>5</v>
      </c>
      <c r="K297" s="383">
        <v>7</v>
      </c>
    </row>
    <row r="298" spans="1:11" x14ac:dyDescent="0.3">
      <c r="A298" t="s">
        <v>2223</v>
      </c>
      <c r="B298" t="s">
        <v>2492</v>
      </c>
      <c r="C298" t="s">
        <v>2477</v>
      </c>
      <c r="D298" s="383">
        <v>8</v>
      </c>
      <c r="E298" s="384">
        <v>1494393.35</v>
      </c>
      <c r="F298" s="384">
        <v>0</v>
      </c>
      <c r="G298" s="384">
        <v>0</v>
      </c>
      <c r="H298" s="384">
        <v>0</v>
      </c>
      <c r="I298" s="384">
        <v>0</v>
      </c>
      <c r="J298" s="383">
        <v>8</v>
      </c>
      <c r="K298" s="383">
        <v>8</v>
      </c>
    </row>
    <row r="299" spans="1:11" x14ac:dyDescent="0.3">
      <c r="A299" t="s">
        <v>2223</v>
      </c>
      <c r="B299" t="s">
        <v>2492</v>
      </c>
      <c r="C299" t="s">
        <v>2478</v>
      </c>
      <c r="D299" s="383">
        <v>7</v>
      </c>
      <c r="E299" s="384">
        <v>1019946.07</v>
      </c>
      <c r="F299" s="384">
        <v>0</v>
      </c>
      <c r="G299" s="384">
        <v>0</v>
      </c>
      <c r="H299" s="384">
        <v>0</v>
      </c>
      <c r="I299" s="384">
        <v>0</v>
      </c>
      <c r="J299" s="383">
        <v>6</v>
      </c>
      <c r="K299" s="383">
        <v>7</v>
      </c>
    </row>
    <row r="300" spans="1:11" x14ac:dyDescent="0.3">
      <c r="A300" t="s">
        <v>2223</v>
      </c>
      <c r="B300" t="s">
        <v>2492</v>
      </c>
      <c r="C300" t="s">
        <v>2479</v>
      </c>
      <c r="D300" s="383">
        <v>5</v>
      </c>
      <c r="E300" s="384">
        <v>1081115.05</v>
      </c>
      <c r="F300" s="384">
        <v>0</v>
      </c>
      <c r="G300" s="384">
        <v>0</v>
      </c>
      <c r="H300" s="384">
        <v>0</v>
      </c>
      <c r="I300" s="384">
        <v>0</v>
      </c>
      <c r="J300" s="383">
        <v>2</v>
      </c>
      <c r="K300" s="383">
        <v>5</v>
      </c>
    </row>
    <row r="301" spans="1:11" x14ac:dyDescent="0.3">
      <c r="A301" t="s">
        <v>2223</v>
      </c>
      <c r="B301" t="s">
        <v>2492</v>
      </c>
      <c r="C301" t="s">
        <v>2480</v>
      </c>
      <c r="D301" s="383">
        <v>2</v>
      </c>
      <c r="E301" s="384">
        <v>429122.6</v>
      </c>
      <c r="F301" s="384">
        <v>0</v>
      </c>
      <c r="G301" s="384">
        <v>0</v>
      </c>
      <c r="H301" s="384">
        <v>0</v>
      </c>
      <c r="I301" s="384">
        <v>0</v>
      </c>
      <c r="J301" s="383">
        <v>2</v>
      </c>
      <c r="K301" s="383">
        <v>2</v>
      </c>
    </row>
    <row r="302" spans="1:11" x14ac:dyDescent="0.3">
      <c r="A302" t="s">
        <v>2223</v>
      </c>
      <c r="B302" t="s">
        <v>2492</v>
      </c>
      <c r="C302" t="s">
        <v>2481</v>
      </c>
      <c r="D302" s="383">
        <v>2</v>
      </c>
      <c r="E302" s="384">
        <v>483492.62</v>
      </c>
      <c r="F302" s="384">
        <v>0</v>
      </c>
      <c r="G302" s="384">
        <v>0</v>
      </c>
      <c r="H302" s="384">
        <v>0</v>
      </c>
      <c r="I302" s="384">
        <v>0</v>
      </c>
      <c r="J302" s="383">
        <v>2</v>
      </c>
      <c r="K302" s="383">
        <v>2</v>
      </c>
    </row>
    <row r="303" spans="1:11" x14ac:dyDescent="0.3">
      <c r="A303" t="s">
        <v>2223</v>
      </c>
      <c r="B303" t="s">
        <v>2492</v>
      </c>
      <c r="C303" t="s">
        <v>2482</v>
      </c>
      <c r="D303" s="383">
        <v>3</v>
      </c>
      <c r="E303" s="384">
        <v>1043383.8</v>
      </c>
      <c r="F303" s="384">
        <v>0</v>
      </c>
      <c r="G303" s="384">
        <v>0</v>
      </c>
      <c r="H303" s="384">
        <v>0</v>
      </c>
      <c r="I303" s="384">
        <v>0</v>
      </c>
      <c r="J303" s="383">
        <v>3</v>
      </c>
      <c r="K303" s="383">
        <v>3</v>
      </c>
    </row>
    <row r="304" spans="1:11" x14ac:dyDescent="0.3">
      <c r="A304" t="s">
        <v>2223</v>
      </c>
      <c r="B304" t="s">
        <v>2492</v>
      </c>
      <c r="C304" t="s">
        <v>2493</v>
      </c>
      <c r="D304" s="383">
        <v>29403</v>
      </c>
      <c r="E304" s="384">
        <v>853196366.70000005</v>
      </c>
      <c r="F304" s="384">
        <v>0</v>
      </c>
      <c r="G304" s="384">
        <v>0</v>
      </c>
      <c r="H304" s="384">
        <v>0</v>
      </c>
      <c r="I304" s="384">
        <v>0</v>
      </c>
      <c r="J304" s="383">
        <v>27612</v>
      </c>
      <c r="K304" s="383">
        <v>28130</v>
      </c>
    </row>
    <row r="305" spans="1:11" x14ac:dyDescent="0.3">
      <c r="A305" t="s">
        <v>2223</v>
      </c>
      <c r="B305" t="s">
        <v>2492</v>
      </c>
      <c r="C305" t="s">
        <v>2494</v>
      </c>
      <c r="D305" s="383">
        <v>5120</v>
      </c>
      <c r="E305" s="384">
        <v>303829868.81999999</v>
      </c>
      <c r="F305" s="384">
        <v>0</v>
      </c>
      <c r="G305" s="384">
        <v>0</v>
      </c>
      <c r="H305" s="384">
        <v>0</v>
      </c>
      <c r="I305" s="384">
        <v>0</v>
      </c>
      <c r="J305" s="383">
        <v>4727</v>
      </c>
      <c r="K305" s="383">
        <v>4781</v>
      </c>
    </row>
    <row r="306" spans="1:11" x14ac:dyDescent="0.3">
      <c r="A306" t="s">
        <v>2223</v>
      </c>
      <c r="B306" t="s">
        <v>2492</v>
      </c>
      <c r="C306" t="s">
        <v>2495</v>
      </c>
      <c r="D306" s="383">
        <v>4001</v>
      </c>
      <c r="E306" s="384">
        <v>277597963.95999998</v>
      </c>
      <c r="F306" s="384">
        <v>0</v>
      </c>
      <c r="G306" s="384">
        <v>0</v>
      </c>
      <c r="H306" s="384">
        <v>0</v>
      </c>
      <c r="I306" s="384">
        <v>0</v>
      </c>
      <c r="J306" s="383">
        <v>3662</v>
      </c>
      <c r="K306" s="383">
        <v>3707</v>
      </c>
    </row>
    <row r="307" spans="1:11" x14ac:dyDescent="0.3">
      <c r="A307" t="s">
        <v>2223</v>
      </c>
      <c r="B307" t="s">
        <v>2492</v>
      </c>
      <c r="C307" t="s">
        <v>2496</v>
      </c>
      <c r="D307" s="383">
        <v>3060</v>
      </c>
      <c r="E307" s="384">
        <v>247017705.16</v>
      </c>
      <c r="F307" s="384">
        <v>0</v>
      </c>
      <c r="G307" s="384">
        <v>0</v>
      </c>
      <c r="H307" s="384">
        <v>0</v>
      </c>
      <c r="I307" s="384">
        <v>0</v>
      </c>
      <c r="J307" s="383">
        <v>2788</v>
      </c>
      <c r="K307" s="383">
        <v>2815</v>
      </c>
    </row>
    <row r="308" spans="1:11" x14ac:dyDescent="0.3">
      <c r="A308" t="s">
        <v>2223</v>
      </c>
      <c r="B308" t="s">
        <v>2492</v>
      </c>
      <c r="C308" t="s">
        <v>2497</v>
      </c>
      <c r="D308" s="383">
        <v>1916</v>
      </c>
      <c r="E308" s="384">
        <v>184437730.53999999</v>
      </c>
      <c r="F308" s="384">
        <v>0</v>
      </c>
      <c r="G308" s="384">
        <v>0</v>
      </c>
      <c r="H308" s="384">
        <v>0</v>
      </c>
      <c r="I308" s="384">
        <v>0</v>
      </c>
      <c r="J308" s="383">
        <v>1768</v>
      </c>
      <c r="K308" s="383">
        <v>1789</v>
      </c>
    </row>
    <row r="309" spans="1:11" x14ac:dyDescent="0.3">
      <c r="A309" t="s">
        <v>2223</v>
      </c>
      <c r="B309" t="s">
        <v>2492</v>
      </c>
      <c r="C309" t="s">
        <v>2498</v>
      </c>
      <c r="D309" s="383">
        <v>574</v>
      </c>
      <c r="E309" s="384">
        <v>67162350.230000004</v>
      </c>
      <c r="F309" s="384">
        <v>0</v>
      </c>
      <c r="G309" s="384">
        <v>0</v>
      </c>
      <c r="H309" s="384">
        <v>0</v>
      </c>
      <c r="I309" s="384">
        <v>0</v>
      </c>
      <c r="J309" s="383">
        <v>547</v>
      </c>
      <c r="K309" s="383">
        <v>549</v>
      </c>
    </row>
    <row r="310" spans="1:11" x14ac:dyDescent="0.3">
      <c r="A310" t="s">
        <v>2223</v>
      </c>
      <c r="B310" t="s">
        <v>2492</v>
      </c>
      <c r="C310" t="s">
        <v>2499</v>
      </c>
      <c r="D310" s="383">
        <v>322</v>
      </c>
      <c r="E310" s="384">
        <v>39296878.82</v>
      </c>
      <c r="F310" s="384">
        <v>0</v>
      </c>
      <c r="G310" s="384">
        <v>0</v>
      </c>
      <c r="H310" s="384">
        <v>0</v>
      </c>
      <c r="I310" s="384">
        <v>0</v>
      </c>
      <c r="J310" s="383">
        <v>314</v>
      </c>
      <c r="K310" s="383">
        <v>316</v>
      </c>
    </row>
    <row r="311" spans="1:11" x14ac:dyDescent="0.3">
      <c r="A311" t="s">
        <v>2223</v>
      </c>
      <c r="B311" t="s">
        <v>2492</v>
      </c>
      <c r="C311" t="s">
        <v>2500</v>
      </c>
      <c r="D311" s="383">
        <v>169</v>
      </c>
      <c r="E311" s="384">
        <v>22508749.280000001</v>
      </c>
      <c r="F311" s="384">
        <v>0</v>
      </c>
      <c r="G311" s="384">
        <v>0</v>
      </c>
      <c r="H311" s="384">
        <v>0</v>
      </c>
      <c r="I311" s="384">
        <v>0</v>
      </c>
      <c r="J311" s="383">
        <v>165</v>
      </c>
      <c r="K311" s="383">
        <v>168</v>
      </c>
    </row>
    <row r="312" spans="1:11" x14ac:dyDescent="0.3">
      <c r="A312" t="s">
        <v>2223</v>
      </c>
      <c r="B312" t="s">
        <v>2492</v>
      </c>
      <c r="C312" t="s">
        <v>2501</v>
      </c>
      <c r="D312" s="383">
        <v>76</v>
      </c>
      <c r="E312" s="384">
        <v>10351803.65</v>
      </c>
      <c r="F312" s="384">
        <v>0</v>
      </c>
      <c r="G312" s="384">
        <v>0</v>
      </c>
      <c r="H312" s="384">
        <v>0</v>
      </c>
      <c r="I312" s="384">
        <v>0</v>
      </c>
      <c r="J312" s="383">
        <v>74</v>
      </c>
      <c r="K312" s="383">
        <v>74</v>
      </c>
    </row>
    <row r="313" spans="1:11" x14ac:dyDescent="0.3">
      <c r="A313" t="s">
        <v>2223</v>
      </c>
      <c r="B313" t="s">
        <v>2492</v>
      </c>
      <c r="C313" t="s">
        <v>2483</v>
      </c>
      <c r="D313" s="383">
        <v>145735</v>
      </c>
      <c r="E313" s="384">
        <v>5387817559.2700005</v>
      </c>
      <c r="F313" s="384">
        <v>0</v>
      </c>
      <c r="G313" s="384">
        <v>0</v>
      </c>
      <c r="H313" s="384">
        <v>0</v>
      </c>
      <c r="I313" s="384">
        <v>0</v>
      </c>
      <c r="J313" s="383">
        <v>130207</v>
      </c>
      <c r="K313" s="383">
        <v>133389</v>
      </c>
    </row>
    <row r="314" spans="1:11" x14ac:dyDescent="0.3">
      <c r="A314" t="s">
        <v>2223</v>
      </c>
      <c r="B314" t="s">
        <v>2492</v>
      </c>
      <c r="C314" t="s">
        <v>2484</v>
      </c>
      <c r="D314" s="383">
        <v>59766</v>
      </c>
      <c r="E314" s="384">
        <v>4167095407.8699999</v>
      </c>
      <c r="F314" s="384">
        <v>0</v>
      </c>
      <c r="G314" s="384">
        <v>0</v>
      </c>
      <c r="H314" s="384">
        <v>0</v>
      </c>
      <c r="I314" s="384">
        <v>0</v>
      </c>
      <c r="J314" s="383">
        <v>51637</v>
      </c>
      <c r="K314" s="383">
        <v>52306</v>
      </c>
    </row>
    <row r="315" spans="1:11" x14ac:dyDescent="0.3">
      <c r="A315" t="s">
        <v>2223</v>
      </c>
      <c r="B315" t="s">
        <v>2492</v>
      </c>
      <c r="C315" t="s">
        <v>2485</v>
      </c>
      <c r="D315" s="383">
        <v>74084</v>
      </c>
      <c r="E315" s="384">
        <v>6016644012.8299999</v>
      </c>
      <c r="F315" s="384">
        <v>0</v>
      </c>
      <c r="G315" s="384">
        <v>0</v>
      </c>
      <c r="H315" s="384">
        <v>0</v>
      </c>
      <c r="I315" s="384">
        <v>0</v>
      </c>
      <c r="J315" s="383">
        <v>62932</v>
      </c>
      <c r="K315" s="383">
        <v>63809</v>
      </c>
    </row>
    <row r="316" spans="1:11" x14ac:dyDescent="0.3">
      <c r="A316" t="s">
        <v>2223</v>
      </c>
      <c r="B316" t="s">
        <v>2492</v>
      </c>
      <c r="C316" t="s">
        <v>2486</v>
      </c>
      <c r="D316" s="383">
        <v>85367</v>
      </c>
      <c r="E316" s="384">
        <v>7858323137.3500004</v>
      </c>
      <c r="F316" s="384">
        <v>0</v>
      </c>
      <c r="G316" s="384">
        <v>0</v>
      </c>
      <c r="H316" s="384">
        <v>0</v>
      </c>
      <c r="I316" s="384">
        <v>0</v>
      </c>
      <c r="J316" s="383">
        <v>71720</v>
      </c>
      <c r="K316" s="383">
        <v>72902</v>
      </c>
    </row>
    <row r="317" spans="1:11" x14ac:dyDescent="0.3">
      <c r="A317" t="s">
        <v>2223</v>
      </c>
      <c r="B317" t="s">
        <v>2492</v>
      </c>
      <c r="C317" t="s">
        <v>2487</v>
      </c>
      <c r="D317" s="383">
        <v>99612</v>
      </c>
      <c r="E317" s="384">
        <v>10811938523.77</v>
      </c>
      <c r="F317" s="384">
        <v>0</v>
      </c>
      <c r="G317" s="384">
        <v>0</v>
      </c>
      <c r="H317" s="384">
        <v>0</v>
      </c>
      <c r="I317" s="384">
        <v>0</v>
      </c>
      <c r="J317" s="383">
        <v>84162</v>
      </c>
      <c r="K317" s="383">
        <v>85651</v>
      </c>
    </row>
    <row r="318" spans="1:11" x14ac:dyDescent="0.3">
      <c r="A318" t="s">
        <v>2223</v>
      </c>
      <c r="B318" t="s">
        <v>2492</v>
      </c>
      <c r="C318" t="s">
        <v>2488</v>
      </c>
      <c r="D318" s="383">
        <v>51010</v>
      </c>
      <c r="E318" s="384">
        <v>6620384707.1400003</v>
      </c>
      <c r="F318" s="384">
        <v>0</v>
      </c>
      <c r="G318" s="384">
        <v>0</v>
      </c>
      <c r="H318" s="384">
        <v>0</v>
      </c>
      <c r="I318" s="384">
        <v>0</v>
      </c>
      <c r="J318" s="383">
        <v>45466</v>
      </c>
      <c r="K318" s="383">
        <v>45830</v>
      </c>
    </row>
    <row r="319" spans="1:11" x14ac:dyDescent="0.3">
      <c r="A319" t="s">
        <v>2223</v>
      </c>
      <c r="B319" t="s">
        <v>2492</v>
      </c>
      <c r="C319" t="s">
        <v>2489</v>
      </c>
      <c r="D319" s="383">
        <v>44694</v>
      </c>
      <c r="E319" s="384">
        <v>6267230242.3599997</v>
      </c>
      <c r="F319" s="384">
        <v>0</v>
      </c>
      <c r="G319" s="384">
        <v>0</v>
      </c>
      <c r="H319" s="384">
        <v>0</v>
      </c>
      <c r="I319" s="384">
        <v>0</v>
      </c>
      <c r="J319" s="383">
        <v>40628</v>
      </c>
      <c r="K319" s="383">
        <v>40867</v>
      </c>
    </row>
    <row r="320" spans="1:11" x14ac:dyDescent="0.3">
      <c r="A320" t="s">
        <v>2223</v>
      </c>
      <c r="B320" t="s">
        <v>2492</v>
      </c>
      <c r="C320" t="s">
        <v>2490</v>
      </c>
      <c r="D320" s="383">
        <v>26388</v>
      </c>
      <c r="E320" s="384">
        <v>3876169830.6500001</v>
      </c>
      <c r="F320" s="384">
        <v>0</v>
      </c>
      <c r="G320" s="384">
        <v>0</v>
      </c>
      <c r="H320" s="384">
        <v>0</v>
      </c>
      <c r="I320" s="384">
        <v>0</v>
      </c>
      <c r="J320" s="383">
        <v>24772</v>
      </c>
      <c r="K320" s="383">
        <v>24894</v>
      </c>
    </row>
    <row r="321" spans="1:11" x14ac:dyDescent="0.3">
      <c r="A321" t="s">
        <v>2223</v>
      </c>
      <c r="B321" t="s">
        <v>2492</v>
      </c>
      <c r="C321" t="s">
        <v>2491</v>
      </c>
      <c r="D321" s="383">
        <v>11891</v>
      </c>
      <c r="E321" s="384">
        <v>1824728871.97</v>
      </c>
      <c r="F321" s="384">
        <v>0</v>
      </c>
      <c r="G321" s="384">
        <v>0</v>
      </c>
      <c r="H321" s="384">
        <v>0</v>
      </c>
      <c r="I321" s="384">
        <v>0</v>
      </c>
      <c r="J321" s="383">
        <v>11408</v>
      </c>
      <c r="K321" s="383">
        <v>11456</v>
      </c>
    </row>
    <row r="322" spans="1:11" x14ac:dyDescent="0.3">
      <c r="A322" t="s">
        <v>2223</v>
      </c>
      <c r="B322" t="s">
        <v>2502</v>
      </c>
      <c r="C322" t="s">
        <v>2503</v>
      </c>
      <c r="D322" s="383">
        <v>6189</v>
      </c>
      <c r="E322" s="384">
        <v>102488816.56999999</v>
      </c>
      <c r="F322" s="384">
        <v>0</v>
      </c>
      <c r="G322" s="384">
        <v>0</v>
      </c>
      <c r="H322" s="384">
        <v>0</v>
      </c>
      <c r="I322" s="384">
        <v>0</v>
      </c>
      <c r="J322" s="383">
        <v>5589</v>
      </c>
      <c r="K322" s="383">
        <v>5621</v>
      </c>
    </row>
    <row r="323" spans="1:11" x14ac:dyDescent="0.3">
      <c r="A323" t="s">
        <v>2223</v>
      </c>
      <c r="B323" t="s">
        <v>2502</v>
      </c>
      <c r="C323" t="s">
        <v>2504</v>
      </c>
      <c r="D323" s="383">
        <v>3206</v>
      </c>
      <c r="E323" s="384">
        <v>76239633.129999995</v>
      </c>
      <c r="F323" s="384">
        <v>0</v>
      </c>
      <c r="G323" s="384">
        <v>0</v>
      </c>
      <c r="H323" s="384">
        <v>0</v>
      </c>
      <c r="I323" s="384">
        <v>0</v>
      </c>
      <c r="J323" s="383">
        <v>2911</v>
      </c>
      <c r="K323" s="383">
        <v>2931</v>
      </c>
    </row>
    <row r="324" spans="1:11" x14ac:dyDescent="0.3">
      <c r="A324" t="s">
        <v>2223</v>
      </c>
      <c r="B324" t="s">
        <v>2502</v>
      </c>
      <c r="C324" t="s">
        <v>2505</v>
      </c>
      <c r="D324" s="383">
        <v>3914</v>
      </c>
      <c r="E324" s="384">
        <v>94624946.170000002</v>
      </c>
      <c r="F324" s="384">
        <v>0</v>
      </c>
      <c r="G324" s="384">
        <v>0</v>
      </c>
      <c r="H324" s="384">
        <v>0</v>
      </c>
      <c r="I324" s="384">
        <v>0</v>
      </c>
      <c r="J324" s="383">
        <v>3473</v>
      </c>
      <c r="K324" s="383">
        <v>3489</v>
      </c>
    </row>
    <row r="325" spans="1:11" x14ac:dyDescent="0.3">
      <c r="A325" t="s">
        <v>2223</v>
      </c>
      <c r="B325" t="s">
        <v>2502</v>
      </c>
      <c r="C325" t="s">
        <v>2506</v>
      </c>
      <c r="D325" s="383">
        <v>7554</v>
      </c>
      <c r="E325" s="384">
        <v>213643975.06</v>
      </c>
      <c r="F325" s="384">
        <v>0</v>
      </c>
      <c r="G325" s="384">
        <v>0</v>
      </c>
      <c r="H325" s="384">
        <v>0</v>
      </c>
      <c r="I325" s="384">
        <v>0</v>
      </c>
      <c r="J325" s="383">
        <v>6370</v>
      </c>
      <c r="K325" s="383">
        <v>6401</v>
      </c>
    </row>
    <row r="326" spans="1:11" x14ac:dyDescent="0.3">
      <c r="A326" t="s">
        <v>2223</v>
      </c>
      <c r="B326" t="s">
        <v>2502</v>
      </c>
      <c r="C326" t="s">
        <v>2507</v>
      </c>
      <c r="D326" s="383">
        <v>13505</v>
      </c>
      <c r="E326" s="384">
        <v>376089708.87</v>
      </c>
      <c r="F326" s="384">
        <v>0</v>
      </c>
      <c r="G326" s="384">
        <v>0</v>
      </c>
      <c r="H326" s="384">
        <v>0</v>
      </c>
      <c r="I326" s="384">
        <v>0</v>
      </c>
      <c r="J326" s="383">
        <v>10773</v>
      </c>
      <c r="K326" s="383">
        <v>10838</v>
      </c>
    </row>
    <row r="327" spans="1:11" x14ac:dyDescent="0.3">
      <c r="A327" t="s">
        <v>2223</v>
      </c>
      <c r="B327" t="s">
        <v>2502</v>
      </c>
      <c r="C327" t="s">
        <v>2508</v>
      </c>
      <c r="D327" s="383">
        <v>11806</v>
      </c>
      <c r="E327" s="384">
        <v>350113917.83999997</v>
      </c>
      <c r="F327" s="384">
        <v>0</v>
      </c>
      <c r="G327" s="384">
        <v>0</v>
      </c>
      <c r="H327" s="384">
        <v>0</v>
      </c>
      <c r="I327" s="384">
        <v>0</v>
      </c>
      <c r="J327" s="383">
        <v>9310</v>
      </c>
      <c r="K327" s="383">
        <v>9376</v>
      </c>
    </row>
    <row r="328" spans="1:11" x14ac:dyDescent="0.3">
      <c r="A328" t="s">
        <v>2223</v>
      </c>
      <c r="B328" t="s">
        <v>2502</v>
      </c>
      <c r="C328" t="s">
        <v>2509</v>
      </c>
      <c r="D328" s="383">
        <v>14287</v>
      </c>
      <c r="E328" s="384">
        <v>532773944.07999998</v>
      </c>
      <c r="F328" s="384">
        <v>0</v>
      </c>
      <c r="G328" s="384">
        <v>0</v>
      </c>
      <c r="H328" s="384">
        <v>0</v>
      </c>
      <c r="I328" s="384">
        <v>0</v>
      </c>
      <c r="J328" s="383">
        <v>11768</v>
      </c>
      <c r="K328" s="383">
        <v>11874</v>
      </c>
    </row>
    <row r="329" spans="1:11" x14ac:dyDescent="0.3">
      <c r="A329" t="s">
        <v>2223</v>
      </c>
      <c r="B329" t="s">
        <v>2502</v>
      </c>
      <c r="C329" t="s">
        <v>2510</v>
      </c>
      <c r="D329" s="383">
        <v>16921</v>
      </c>
      <c r="E329" s="384">
        <v>696368195.13</v>
      </c>
      <c r="F329" s="384">
        <v>0</v>
      </c>
      <c r="G329" s="384">
        <v>0</v>
      </c>
      <c r="H329" s="384">
        <v>0</v>
      </c>
      <c r="I329" s="384">
        <v>0</v>
      </c>
      <c r="J329" s="383">
        <v>13900</v>
      </c>
      <c r="K329" s="383">
        <v>14028</v>
      </c>
    </row>
    <row r="330" spans="1:11" x14ac:dyDescent="0.3">
      <c r="A330" t="s">
        <v>2223</v>
      </c>
      <c r="B330" t="s">
        <v>2502</v>
      </c>
      <c r="C330" t="s">
        <v>2511</v>
      </c>
      <c r="D330" s="383">
        <v>32389</v>
      </c>
      <c r="E330" s="384">
        <v>1592319141.02</v>
      </c>
      <c r="F330" s="384">
        <v>0</v>
      </c>
      <c r="G330" s="384">
        <v>0</v>
      </c>
      <c r="H330" s="384">
        <v>0</v>
      </c>
      <c r="I330" s="384">
        <v>0</v>
      </c>
      <c r="J330" s="383">
        <v>28084</v>
      </c>
      <c r="K330" s="383">
        <v>28577</v>
      </c>
    </row>
    <row r="331" spans="1:11" x14ac:dyDescent="0.3">
      <c r="A331" t="s">
        <v>2223</v>
      </c>
      <c r="B331" t="s">
        <v>2502</v>
      </c>
      <c r="C331" t="s">
        <v>2512</v>
      </c>
      <c r="D331" s="383">
        <v>34827</v>
      </c>
      <c r="E331" s="384">
        <v>1824723334.45</v>
      </c>
      <c r="F331" s="384">
        <v>0</v>
      </c>
      <c r="G331" s="384">
        <v>0</v>
      </c>
      <c r="H331" s="384">
        <v>0</v>
      </c>
      <c r="I331" s="384">
        <v>0</v>
      </c>
      <c r="J331" s="383">
        <v>29640</v>
      </c>
      <c r="K331" s="383">
        <v>30233</v>
      </c>
    </row>
    <row r="332" spans="1:11" x14ac:dyDescent="0.3">
      <c r="A332" t="s">
        <v>2223</v>
      </c>
      <c r="B332" t="s">
        <v>2502</v>
      </c>
      <c r="C332" t="s">
        <v>2513</v>
      </c>
      <c r="D332" s="383">
        <v>72603</v>
      </c>
      <c r="E332" s="384">
        <v>4331884427.2399998</v>
      </c>
      <c r="F332" s="384">
        <v>0</v>
      </c>
      <c r="G332" s="384">
        <v>0</v>
      </c>
      <c r="H332" s="384">
        <v>0</v>
      </c>
      <c r="I332" s="384">
        <v>0</v>
      </c>
      <c r="J332" s="383">
        <v>60283</v>
      </c>
      <c r="K332" s="383">
        <v>61990</v>
      </c>
    </row>
    <row r="333" spans="1:11" x14ac:dyDescent="0.3">
      <c r="A333" t="s">
        <v>2223</v>
      </c>
      <c r="B333" t="s">
        <v>2502</v>
      </c>
      <c r="C333" t="s">
        <v>2514</v>
      </c>
      <c r="D333" s="383">
        <v>59093</v>
      </c>
      <c r="E333" s="384">
        <v>4135677539.8699999</v>
      </c>
      <c r="F333" s="384">
        <v>0</v>
      </c>
      <c r="G333" s="384">
        <v>0</v>
      </c>
      <c r="H333" s="384">
        <v>0</v>
      </c>
      <c r="I333" s="384">
        <v>0</v>
      </c>
      <c r="J333" s="383">
        <v>47895</v>
      </c>
      <c r="K333" s="383">
        <v>48757</v>
      </c>
    </row>
    <row r="334" spans="1:11" x14ac:dyDescent="0.3">
      <c r="A334" t="s">
        <v>2223</v>
      </c>
      <c r="B334" t="s">
        <v>2502</v>
      </c>
      <c r="C334" t="s">
        <v>2515</v>
      </c>
      <c r="D334" s="383">
        <v>64670</v>
      </c>
      <c r="E334" s="384">
        <v>5547612392.7200003</v>
      </c>
      <c r="F334" s="384">
        <v>0</v>
      </c>
      <c r="G334" s="384">
        <v>0</v>
      </c>
      <c r="H334" s="384">
        <v>0</v>
      </c>
      <c r="I334" s="384">
        <v>0</v>
      </c>
      <c r="J334" s="383">
        <v>55072</v>
      </c>
      <c r="K334" s="383">
        <v>55956</v>
      </c>
    </row>
    <row r="335" spans="1:11" x14ac:dyDescent="0.3">
      <c r="A335" t="s">
        <v>2223</v>
      </c>
      <c r="B335" t="s">
        <v>2502</v>
      </c>
      <c r="C335" t="s">
        <v>2516</v>
      </c>
      <c r="D335" s="383">
        <v>70141</v>
      </c>
      <c r="E335" s="384">
        <v>7369519147.8000002</v>
      </c>
      <c r="F335" s="384">
        <v>0</v>
      </c>
      <c r="G335" s="384">
        <v>0</v>
      </c>
      <c r="H335" s="384">
        <v>0</v>
      </c>
      <c r="I335" s="384">
        <v>0</v>
      </c>
      <c r="J335" s="383">
        <v>62750</v>
      </c>
      <c r="K335" s="383">
        <v>63975</v>
      </c>
    </row>
    <row r="336" spans="1:11" x14ac:dyDescent="0.3">
      <c r="A336" t="s">
        <v>2223</v>
      </c>
      <c r="B336" t="s">
        <v>2502</v>
      </c>
      <c r="C336" t="s">
        <v>2517</v>
      </c>
      <c r="D336" s="383">
        <v>68362</v>
      </c>
      <c r="E336" s="384">
        <v>8103777205.7600002</v>
      </c>
      <c r="F336" s="384">
        <v>0</v>
      </c>
      <c r="G336" s="384">
        <v>0</v>
      </c>
      <c r="H336" s="384">
        <v>0</v>
      </c>
      <c r="I336" s="384">
        <v>0</v>
      </c>
      <c r="J336" s="383">
        <v>63334</v>
      </c>
      <c r="K336" s="383">
        <v>64143</v>
      </c>
    </row>
    <row r="337" spans="1:11" x14ac:dyDescent="0.3">
      <c r="A337" t="s">
        <v>2223</v>
      </c>
      <c r="B337" t="s">
        <v>2502</v>
      </c>
      <c r="C337" t="s">
        <v>2518</v>
      </c>
      <c r="D337" s="383">
        <v>52804</v>
      </c>
      <c r="E337" s="384">
        <v>7222083694.5600004</v>
      </c>
      <c r="F337" s="384">
        <v>0</v>
      </c>
      <c r="G337" s="384">
        <v>0</v>
      </c>
      <c r="H337" s="384">
        <v>0</v>
      </c>
      <c r="I337" s="384">
        <v>0</v>
      </c>
      <c r="J337" s="383">
        <v>49958</v>
      </c>
      <c r="K337" s="383">
        <v>50428</v>
      </c>
    </row>
    <row r="338" spans="1:11" x14ac:dyDescent="0.3">
      <c r="A338" t="s">
        <v>2223</v>
      </c>
      <c r="B338" t="s">
        <v>2502</v>
      </c>
      <c r="C338" t="s">
        <v>2519</v>
      </c>
      <c r="D338" s="383">
        <v>31881</v>
      </c>
      <c r="E338" s="384">
        <v>4434368489.3900003</v>
      </c>
      <c r="F338" s="384">
        <v>0</v>
      </c>
      <c r="G338" s="384">
        <v>0</v>
      </c>
      <c r="H338" s="384">
        <v>0</v>
      </c>
      <c r="I338" s="384">
        <v>0</v>
      </c>
      <c r="J338" s="383">
        <v>30026</v>
      </c>
      <c r="K338" s="383">
        <v>30154</v>
      </c>
    </row>
    <row r="339" spans="1:11" x14ac:dyDescent="0.3">
      <c r="A339" t="s">
        <v>2223</v>
      </c>
      <c r="B339" t="s">
        <v>2502</v>
      </c>
      <c r="C339" t="s">
        <v>2520</v>
      </c>
      <c r="D339" s="383">
        <v>18855</v>
      </c>
      <c r="E339" s="384">
        <v>2593413744.8400002</v>
      </c>
      <c r="F339" s="384">
        <v>0</v>
      </c>
      <c r="G339" s="384">
        <v>0</v>
      </c>
      <c r="H339" s="384">
        <v>0</v>
      </c>
      <c r="I339" s="384">
        <v>0</v>
      </c>
      <c r="J339" s="383">
        <v>18004</v>
      </c>
      <c r="K339" s="383">
        <v>18044</v>
      </c>
    </row>
    <row r="340" spans="1:11" x14ac:dyDescent="0.3">
      <c r="A340" t="s">
        <v>2223</v>
      </c>
      <c r="B340" t="s">
        <v>2502</v>
      </c>
      <c r="C340" t="s">
        <v>2521</v>
      </c>
      <c r="D340" s="383">
        <v>12106</v>
      </c>
      <c r="E340" s="384">
        <v>1681188138.1199999</v>
      </c>
      <c r="F340" s="384">
        <v>0</v>
      </c>
      <c r="G340" s="384">
        <v>0</v>
      </c>
      <c r="H340" s="384">
        <v>0</v>
      </c>
      <c r="I340" s="384">
        <v>0</v>
      </c>
      <c r="J340" s="383">
        <v>11742</v>
      </c>
      <c r="K340" s="383">
        <v>11763</v>
      </c>
    </row>
    <row r="341" spans="1:11" x14ac:dyDescent="0.3">
      <c r="A341" t="s">
        <v>2223</v>
      </c>
      <c r="B341" t="s">
        <v>2502</v>
      </c>
      <c r="C341" t="s">
        <v>2522</v>
      </c>
      <c r="D341" s="383">
        <v>1342</v>
      </c>
      <c r="E341" s="384">
        <v>188271955.13999999</v>
      </c>
      <c r="F341" s="384">
        <v>0</v>
      </c>
      <c r="G341" s="384">
        <v>0</v>
      </c>
      <c r="H341" s="384">
        <v>0</v>
      </c>
      <c r="I341" s="384">
        <v>0</v>
      </c>
      <c r="J341" s="383">
        <v>1327</v>
      </c>
      <c r="K341" s="383">
        <v>1327</v>
      </c>
    </row>
    <row r="342" spans="1:11" x14ac:dyDescent="0.3">
      <c r="A342" t="s">
        <v>2223</v>
      </c>
      <c r="B342" t="s">
        <v>2502</v>
      </c>
      <c r="C342" t="s">
        <v>2523</v>
      </c>
      <c r="D342" s="383">
        <v>157</v>
      </c>
      <c r="E342" s="384">
        <v>2718698.5</v>
      </c>
      <c r="F342" s="384">
        <v>0</v>
      </c>
      <c r="G342" s="384">
        <v>0</v>
      </c>
      <c r="H342" s="384">
        <v>0</v>
      </c>
      <c r="I342" s="384">
        <v>0</v>
      </c>
      <c r="J342" s="383">
        <v>155</v>
      </c>
      <c r="K342" s="383">
        <v>155</v>
      </c>
    </row>
    <row r="343" spans="1:11" x14ac:dyDescent="0.3">
      <c r="A343" t="s">
        <v>2223</v>
      </c>
      <c r="B343" t="s">
        <v>2502</v>
      </c>
      <c r="C343" t="s">
        <v>2524</v>
      </c>
      <c r="D343" s="383">
        <v>103</v>
      </c>
      <c r="E343" s="384">
        <v>1990962.43</v>
      </c>
      <c r="F343" s="384">
        <v>0</v>
      </c>
      <c r="G343" s="384">
        <v>0</v>
      </c>
      <c r="H343" s="384">
        <v>0</v>
      </c>
      <c r="I343" s="384">
        <v>0</v>
      </c>
      <c r="J343" s="383">
        <v>102</v>
      </c>
      <c r="K343" s="383">
        <v>102</v>
      </c>
    </row>
    <row r="344" spans="1:11" x14ac:dyDescent="0.3">
      <c r="A344" t="s">
        <v>2223</v>
      </c>
      <c r="B344" t="s">
        <v>2502</v>
      </c>
      <c r="C344" t="s">
        <v>2525</v>
      </c>
      <c r="D344" s="383">
        <v>64</v>
      </c>
      <c r="E344" s="384">
        <v>1448465.35</v>
      </c>
      <c r="F344" s="384">
        <v>0</v>
      </c>
      <c r="G344" s="384">
        <v>0</v>
      </c>
      <c r="H344" s="384">
        <v>0</v>
      </c>
      <c r="I344" s="384">
        <v>0</v>
      </c>
      <c r="J344" s="383">
        <v>60</v>
      </c>
      <c r="K344" s="383">
        <v>61</v>
      </c>
    </row>
    <row r="345" spans="1:11" x14ac:dyDescent="0.3">
      <c r="A345" t="s">
        <v>2223</v>
      </c>
      <c r="B345" t="s">
        <v>2502</v>
      </c>
      <c r="C345" t="s">
        <v>2526</v>
      </c>
      <c r="D345" s="383">
        <v>93</v>
      </c>
      <c r="E345" s="384">
        <v>3046157.49</v>
      </c>
      <c r="F345" s="384">
        <v>0</v>
      </c>
      <c r="G345" s="384">
        <v>0</v>
      </c>
      <c r="H345" s="384">
        <v>0</v>
      </c>
      <c r="I345" s="384">
        <v>0</v>
      </c>
      <c r="J345" s="383">
        <v>90</v>
      </c>
      <c r="K345" s="383">
        <v>91</v>
      </c>
    </row>
    <row r="346" spans="1:11" x14ac:dyDescent="0.3">
      <c r="A346" t="s">
        <v>2223</v>
      </c>
      <c r="B346" t="s">
        <v>2502</v>
      </c>
      <c r="C346" t="s">
        <v>2527</v>
      </c>
      <c r="D346" s="383">
        <v>130</v>
      </c>
      <c r="E346" s="384">
        <v>3914787.39</v>
      </c>
      <c r="F346" s="384">
        <v>0</v>
      </c>
      <c r="G346" s="384">
        <v>0</v>
      </c>
      <c r="H346" s="384">
        <v>0</v>
      </c>
      <c r="I346" s="384">
        <v>0</v>
      </c>
      <c r="J346" s="383">
        <v>115</v>
      </c>
      <c r="K346" s="383">
        <v>117</v>
      </c>
    </row>
    <row r="347" spans="1:11" x14ac:dyDescent="0.3">
      <c r="A347" t="s">
        <v>2223</v>
      </c>
      <c r="B347" t="s">
        <v>2502</v>
      </c>
      <c r="C347" t="s">
        <v>2528</v>
      </c>
      <c r="D347" s="383">
        <v>94</v>
      </c>
      <c r="E347" s="384">
        <v>3380496.47</v>
      </c>
      <c r="F347" s="384">
        <v>0</v>
      </c>
      <c r="G347" s="384">
        <v>0</v>
      </c>
      <c r="H347" s="384">
        <v>0</v>
      </c>
      <c r="I347" s="384">
        <v>0</v>
      </c>
      <c r="J347" s="383">
        <v>88</v>
      </c>
      <c r="K347" s="383">
        <v>88</v>
      </c>
    </row>
    <row r="348" spans="1:11" x14ac:dyDescent="0.3">
      <c r="A348" t="s">
        <v>2223</v>
      </c>
      <c r="B348" t="s">
        <v>2502</v>
      </c>
      <c r="C348" t="s">
        <v>2529</v>
      </c>
      <c r="D348" s="383">
        <v>255</v>
      </c>
      <c r="E348" s="384">
        <v>11097692.210000001</v>
      </c>
      <c r="F348" s="384">
        <v>0</v>
      </c>
      <c r="G348" s="384">
        <v>0</v>
      </c>
      <c r="H348" s="384">
        <v>0</v>
      </c>
      <c r="I348" s="384">
        <v>0</v>
      </c>
      <c r="J348" s="383">
        <v>242</v>
      </c>
      <c r="K348" s="383">
        <v>246</v>
      </c>
    </row>
    <row r="349" spans="1:11" x14ac:dyDescent="0.3">
      <c r="A349" t="s">
        <v>2223</v>
      </c>
      <c r="B349" t="s">
        <v>2502</v>
      </c>
      <c r="C349" t="s">
        <v>2530</v>
      </c>
      <c r="D349" s="383">
        <v>88</v>
      </c>
      <c r="E349" s="384">
        <v>3826238.3</v>
      </c>
      <c r="F349" s="384">
        <v>0</v>
      </c>
      <c r="G349" s="384">
        <v>0</v>
      </c>
      <c r="H349" s="384">
        <v>0</v>
      </c>
      <c r="I349" s="384">
        <v>0</v>
      </c>
      <c r="J349" s="383">
        <v>85</v>
      </c>
      <c r="K349" s="383">
        <v>87</v>
      </c>
    </row>
    <row r="350" spans="1:11" x14ac:dyDescent="0.3">
      <c r="A350" t="s">
        <v>2223</v>
      </c>
      <c r="B350" t="s">
        <v>2502</v>
      </c>
      <c r="C350" t="s">
        <v>2531</v>
      </c>
      <c r="D350" s="383">
        <v>283</v>
      </c>
      <c r="E350" s="384">
        <v>15119524.289999999</v>
      </c>
      <c r="F350" s="384">
        <v>0</v>
      </c>
      <c r="G350" s="384">
        <v>0</v>
      </c>
      <c r="H350" s="384">
        <v>0</v>
      </c>
      <c r="I350" s="384">
        <v>0</v>
      </c>
      <c r="J350" s="383">
        <v>272</v>
      </c>
      <c r="K350" s="383">
        <v>278</v>
      </c>
    </row>
    <row r="351" spans="1:11" x14ac:dyDescent="0.3">
      <c r="A351" t="s">
        <v>2223</v>
      </c>
      <c r="B351" t="s">
        <v>2502</v>
      </c>
      <c r="C351" t="s">
        <v>2532</v>
      </c>
      <c r="D351" s="383">
        <v>176</v>
      </c>
      <c r="E351" s="384">
        <v>12178442.460000001</v>
      </c>
      <c r="F351" s="384">
        <v>0</v>
      </c>
      <c r="G351" s="384">
        <v>0</v>
      </c>
      <c r="H351" s="384">
        <v>0</v>
      </c>
      <c r="I351" s="384">
        <v>0</v>
      </c>
      <c r="J351" s="383">
        <v>171</v>
      </c>
      <c r="K351" s="383">
        <v>174</v>
      </c>
    </row>
    <row r="352" spans="1:11" x14ac:dyDescent="0.3">
      <c r="A352" t="s">
        <v>2223</v>
      </c>
      <c r="B352" t="s">
        <v>2502</v>
      </c>
      <c r="C352" t="s">
        <v>2533</v>
      </c>
      <c r="D352" s="383">
        <v>189</v>
      </c>
      <c r="E352" s="384">
        <v>15955010.77</v>
      </c>
      <c r="F352" s="384">
        <v>0</v>
      </c>
      <c r="G352" s="384">
        <v>0</v>
      </c>
      <c r="H352" s="384">
        <v>0</v>
      </c>
      <c r="I352" s="384">
        <v>0</v>
      </c>
      <c r="J352" s="383">
        <v>181</v>
      </c>
      <c r="K352" s="383">
        <v>189</v>
      </c>
    </row>
    <row r="353" spans="1:11" x14ac:dyDescent="0.3">
      <c r="A353" t="s">
        <v>2223</v>
      </c>
      <c r="B353" t="s">
        <v>2502</v>
      </c>
      <c r="C353" t="s">
        <v>2534</v>
      </c>
      <c r="D353" s="383">
        <v>27</v>
      </c>
      <c r="E353" s="384">
        <v>2788083.5</v>
      </c>
      <c r="F353" s="384">
        <v>0</v>
      </c>
      <c r="G353" s="384">
        <v>0</v>
      </c>
      <c r="H353" s="384">
        <v>0</v>
      </c>
      <c r="I353" s="384">
        <v>0</v>
      </c>
      <c r="J353" s="383">
        <v>26</v>
      </c>
      <c r="K353" s="383">
        <v>26</v>
      </c>
    </row>
    <row r="354" spans="1:11" x14ac:dyDescent="0.3">
      <c r="A354" t="s">
        <v>2223</v>
      </c>
      <c r="B354" t="s">
        <v>2502</v>
      </c>
      <c r="C354" t="s">
        <v>2535</v>
      </c>
      <c r="D354" s="383">
        <v>33</v>
      </c>
      <c r="E354" s="384">
        <v>4073246.4</v>
      </c>
      <c r="F354" s="384">
        <v>0</v>
      </c>
      <c r="G354" s="384">
        <v>0</v>
      </c>
      <c r="H354" s="384">
        <v>0</v>
      </c>
      <c r="I354" s="384">
        <v>0</v>
      </c>
      <c r="J354" s="383">
        <v>32</v>
      </c>
      <c r="K354" s="383">
        <v>32</v>
      </c>
    </row>
    <row r="355" spans="1:11" x14ac:dyDescent="0.3">
      <c r="A355" t="s">
        <v>2223</v>
      </c>
      <c r="B355" t="s">
        <v>2502</v>
      </c>
      <c r="C355" t="s">
        <v>2536</v>
      </c>
      <c r="D355" s="383">
        <v>18</v>
      </c>
      <c r="E355" s="384">
        <v>1899503.92</v>
      </c>
      <c r="F355" s="384">
        <v>0</v>
      </c>
      <c r="G355" s="384">
        <v>0</v>
      </c>
      <c r="H355" s="384">
        <v>0</v>
      </c>
      <c r="I355" s="384">
        <v>0</v>
      </c>
      <c r="J355" s="383">
        <v>18</v>
      </c>
      <c r="K355" s="383">
        <v>18</v>
      </c>
    </row>
    <row r="356" spans="1:11" x14ac:dyDescent="0.3">
      <c r="A356" t="s">
        <v>2223</v>
      </c>
      <c r="B356" t="s">
        <v>2502</v>
      </c>
      <c r="C356" t="s">
        <v>2537</v>
      </c>
      <c r="D356" s="383">
        <v>19</v>
      </c>
      <c r="E356" s="384">
        <v>2665998.31</v>
      </c>
      <c r="F356" s="384">
        <v>0</v>
      </c>
      <c r="G356" s="384">
        <v>0</v>
      </c>
      <c r="H356" s="384">
        <v>0</v>
      </c>
      <c r="I356" s="384">
        <v>0</v>
      </c>
      <c r="J356" s="383">
        <v>19</v>
      </c>
      <c r="K356" s="383">
        <v>19</v>
      </c>
    </row>
    <row r="357" spans="1:11" x14ac:dyDescent="0.3">
      <c r="A357" t="s">
        <v>2223</v>
      </c>
      <c r="B357" t="s">
        <v>2502</v>
      </c>
      <c r="C357" t="s">
        <v>2538</v>
      </c>
      <c r="D357" s="383">
        <v>10</v>
      </c>
      <c r="E357" s="384">
        <v>1971739.51</v>
      </c>
      <c r="F357" s="384">
        <v>0</v>
      </c>
      <c r="G357" s="384">
        <v>0</v>
      </c>
      <c r="H357" s="384">
        <v>0</v>
      </c>
      <c r="I357" s="384">
        <v>0</v>
      </c>
      <c r="J357" s="383">
        <v>10</v>
      </c>
      <c r="K357" s="383">
        <v>10</v>
      </c>
    </row>
    <row r="358" spans="1:11" x14ac:dyDescent="0.3">
      <c r="A358" t="s">
        <v>2223</v>
      </c>
      <c r="B358" t="s">
        <v>2502</v>
      </c>
      <c r="C358" t="s">
        <v>2539</v>
      </c>
      <c r="D358" s="383">
        <v>8</v>
      </c>
      <c r="E358" s="384">
        <v>1291720.33</v>
      </c>
      <c r="F358" s="384">
        <v>0</v>
      </c>
      <c r="G358" s="384">
        <v>0</v>
      </c>
      <c r="H358" s="384">
        <v>0</v>
      </c>
      <c r="I358" s="384">
        <v>0</v>
      </c>
      <c r="J358" s="383">
        <v>8</v>
      </c>
      <c r="K358" s="383">
        <v>8</v>
      </c>
    </row>
    <row r="359" spans="1:11" x14ac:dyDescent="0.3">
      <c r="A359" t="s">
        <v>2223</v>
      </c>
      <c r="B359" t="s">
        <v>2502</v>
      </c>
      <c r="C359" t="s">
        <v>2540</v>
      </c>
      <c r="D359" s="383">
        <v>13</v>
      </c>
      <c r="E359" s="384">
        <v>1810677.12</v>
      </c>
      <c r="F359" s="384">
        <v>0</v>
      </c>
      <c r="G359" s="384">
        <v>0</v>
      </c>
      <c r="H359" s="384">
        <v>0</v>
      </c>
      <c r="I359" s="384">
        <v>0</v>
      </c>
      <c r="J359" s="383">
        <v>13</v>
      </c>
      <c r="K359" s="383">
        <v>13</v>
      </c>
    </row>
    <row r="360" spans="1:11" x14ac:dyDescent="0.3">
      <c r="A360" t="s">
        <v>2223</v>
      </c>
      <c r="B360" t="s">
        <v>2502</v>
      </c>
      <c r="C360" t="s">
        <v>2541</v>
      </c>
      <c r="D360" s="383">
        <v>14</v>
      </c>
      <c r="E360" s="384">
        <v>2499512.73</v>
      </c>
      <c r="F360" s="384">
        <v>0</v>
      </c>
      <c r="G360" s="384">
        <v>0</v>
      </c>
      <c r="H360" s="384">
        <v>0</v>
      </c>
      <c r="I360" s="384">
        <v>0</v>
      </c>
      <c r="J360" s="383">
        <v>14</v>
      </c>
      <c r="K360" s="383">
        <v>14</v>
      </c>
    </row>
    <row r="361" spans="1:11" x14ac:dyDescent="0.3">
      <c r="A361" t="s">
        <v>2223</v>
      </c>
      <c r="B361" t="s">
        <v>2502</v>
      </c>
      <c r="C361" t="s">
        <v>2542</v>
      </c>
      <c r="D361" s="383">
        <v>15</v>
      </c>
      <c r="E361" s="384">
        <v>2237269.2200000002</v>
      </c>
      <c r="F361" s="384">
        <v>0</v>
      </c>
      <c r="G361" s="384">
        <v>0</v>
      </c>
      <c r="H361" s="384">
        <v>0</v>
      </c>
      <c r="I361" s="384">
        <v>0</v>
      </c>
      <c r="J361" s="383">
        <v>14</v>
      </c>
      <c r="K361" s="383">
        <v>14</v>
      </c>
    </row>
    <row r="362" spans="1:11" x14ac:dyDescent="0.3">
      <c r="A362" t="s">
        <v>2223</v>
      </c>
      <c r="B362" t="s">
        <v>2502</v>
      </c>
      <c r="C362" t="s">
        <v>2543</v>
      </c>
      <c r="D362" s="383">
        <v>3053</v>
      </c>
      <c r="E362" s="384">
        <v>34641436.369999997</v>
      </c>
      <c r="F362" s="384">
        <v>0</v>
      </c>
      <c r="G362" s="384">
        <v>0</v>
      </c>
      <c r="H362" s="384">
        <v>0</v>
      </c>
      <c r="I362" s="384">
        <v>0</v>
      </c>
      <c r="J362" s="383">
        <v>2667</v>
      </c>
      <c r="K362" s="383">
        <v>2685</v>
      </c>
    </row>
    <row r="363" spans="1:11" x14ac:dyDescent="0.3">
      <c r="A363" t="s">
        <v>2223</v>
      </c>
      <c r="B363" t="s">
        <v>2502</v>
      </c>
      <c r="C363" t="s">
        <v>2544</v>
      </c>
      <c r="D363" s="383">
        <v>874</v>
      </c>
      <c r="E363" s="384">
        <v>16711828.390000001</v>
      </c>
      <c r="F363" s="384">
        <v>0</v>
      </c>
      <c r="G363" s="384">
        <v>0</v>
      </c>
      <c r="H363" s="384">
        <v>0</v>
      </c>
      <c r="I363" s="384">
        <v>0</v>
      </c>
      <c r="J363" s="383">
        <v>769</v>
      </c>
      <c r="K363" s="383">
        <v>776</v>
      </c>
    </row>
    <row r="364" spans="1:11" x14ac:dyDescent="0.3">
      <c r="A364" t="s">
        <v>2223</v>
      </c>
      <c r="B364" t="s">
        <v>2502</v>
      </c>
      <c r="C364" t="s">
        <v>2545</v>
      </c>
      <c r="D364" s="383">
        <v>1090</v>
      </c>
      <c r="E364" s="384">
        <v>22022213.48</v>
      </c>
      <c r="F364" s="384">
        <v>0</v>
      </c>
      <c r="G364" s="384">
        <v>0</v>
      </c>
      <c r="H364" s="384">
        <v>0</v>
      </c>
      <c r="I364" s="384">
        <v>0</v>
      </c>
      <c r="J364" s="383">
        <v>928</v>
      </c>
      <c r="K364" s="383">
        <v>933</v>
      </c>
    </row>
    <row r="365" spans="1:11" x14ac:dyDescent="0.3">
      <c r="A365" t="s">
        <v>2223</v>
      </c>
      <c r="B365" t="s">
        <v>2502</v>
      </c>
      <c r="C365" t="s">
        <v>2546</v>
      </c>
      <c r="D365" s="383">
        <v>1810</v>
      </c>
      <c r="E365" s="384">
        <v>43351136.109999999</v>
      </c>
      <c r="F365" s="384">
        <v>0</v>
      </c>
      <c r="G365" s="384">
        <v>0</v>
      </c>
      <c r="H365" s="384">
        <v>0</v>
      </c>
      <c r="I365" s="384">
        <v>0</v>
      </c>
      <c r="J365" s="383">
        <v>1429</v>
      </c>
      <c r="K365" s="383">
        <v>1441</v>
      </c>
    </row>
    <row r="366" spans="1:11" x14ac:dyDescent="0.3">
      <c r="A366" t="s">
        <v>2223</v>
      </c>
      <c r="B366" t="s">
        <v>2502</v>
      </c>
      <c r="C366" t="s">
        <v>2547</v>
      </c>
      <c r="D366" s="383">
        <v>2787</v>
      </c>
      <c r="E366" s="384">
        <v>63104861.890000001</v>
      </c>
      <c r="F366" s="384">
        <v>0</v>
      </c>
      <c r="G366" s="384">
        <v>0</v>
      </c>
      <c r="H366" s="384">
        <v>0</v>
      </c>
      <c r="I366" s="384">
        <v>0</v>
      </c>
      <c r="J366" s="383">
        <v>2008</v>
      </c>
      <c r="K366" s="383">
        <v>2037</v>
      </c>
    </row>
    <row r="367" spans="1:11" x14ac:dyDescent="0.3">
      <c r="A367" t="s">
        <v>2223</v>
      </c>
      <c r="B367" t="s">
        <v>2502</v>
      </c>
      <c r="C367" t="s">
        <v>2548</v>
      </c>
      <c r="D367" s="383">
        <v>2042</v>
      </c>
      <c r="E367" s="384">
        <v>50557797.600000001</v>
      </c>
      <c r="F367" s="384">
        <v>0</v>
      </c>
      <c r="G367" s="384">
        <v>0</v>
      </c>
      <c r="H367" s="384">
        <v>0</v>
      </c>
      <c r="I367" s="384">
        <v>0</v>
      </c>
      <c r="J367" s="383">
        <v>1570</v>
      </c>
      <c r="K367" s="383">
        <v>1580</v>
      </c>
    </row>
    <row r="368" spans="1:11" x14ac:dyDescent="0.3">
      <c r="A368" t="s">
        <v>2223</v>
      </c>
      <c r="B368" t="s">
        <v>2502</v>
      </c>
      <c r="C368" t="s">
        <v>2549</v>
      </c>
      <c r="D368" s="383">
        <v>1915</v>
      </c>
      <c r="E368" s="384">
        <v>58180514.07</v>
      </c>
      <c r="F368" s="384">
        <v>0</v>
      </c>
      <c r="G368" s="384">
        <v>0</v>
      </c>
      <c r="H368" s="384">
        <v>0</v>
      </c>
      <c r="I368" s="384">
        <v>0</v>
      </c>
      <c r="J368" s="383">
        <v>1552</v>
      </c>
      <c r="K368" s="383">
        <v>1565</v>
      </c>
    </row>
    <row r="369" spans="1:11" x14ac:dyDescent="0.3">
      <c r="A369" t="s">
        <v>2223</v>
      </c>
      <c r="B369" t="s">
        <v>2502</v>
      </c>
      <c r="C369" t="s">
        <v>2550</v>
      </c>
      <c r="D369" s="383">
        <v>1286</v>
      </c>
      <c r="E369" s="384">
        <v>42371786.439999998</v>
      </c>
      <c r="F369" s="384">
        <v>0</v>
      </c>
      <c r="G369" s="384">
        <v>0</v>
      </c>
      <c r="H369" s="384">
        <v>0</v>
      </c>
      <c r="I369" s="384">
        <v>0</v>
      </c>
      <c r="J369" s="383">
        <v>1031</v>
      </c>
      <c r="K369" s="383">
        <v>1049</v>
      </c>
    </row>
    <row r="370" spans="1:11" x14ac:dyDescent="0.3">
      <c r="A370" t="s">
        <v>2223</v>
      </c>
      <c r="B370" t="s">
        <v>2502</v>
      </c>
      <c r="C370" t="s">
        <v>2551</v>
      </c>
      <c r="D370" s="383">
        <v>1225</v>
      </c>
      <c r="E370" s="384">
        <v>45001926.68</v>
      </c>
      <c r="F370" s="384">
        <v>0</v>
      </c>
      <c r="G370" s="384">
        <v>0</v>
      </c>
      <c r="H370" s="384">
        <v>0</v>
      </c>
      <c r="I370" s="384">
        <v>0</v>
      </c>
      <c r="J370" s="383">
        <v>1030</v>
      </c>
      <c r="K370" s="383">
        <v>1036</v>
      </c>
    </row>
    <row r="371" spans="1:11" x14ac:dyDescent="0.3">
      <c r="A371" t="s">
        <v>2223</v>
      </c>
      <c r="B371" t="s">
        <v>2502</v>
      </c>
      <c r="C371" t="s">
        <v>2552</v>
      </c>
      <c r="D371" s="383">
        <v>1202</v>
      </c>
      <c r="E371" s="384">
        <v>51387902.240000002</v>
      </c>
      <c r="F371" s="384">
        <v>0</v>
      </c>
      <c r="G371" s="384">
        <v>0</v>
      </c>
      <c r="H371" s="384">
        <v>0</v>
      </c>
      <c r="I371" s="384">
        <v>0</v>
      </c>
      <c r="J371" s="383">
        <v>1018</v>
      </c>
      <c r="K371" s="383">
        <v>1022</v>
      </c>
    </row>
    <row r="372" spans="1:11" x14ac:dyDescent="0.3">
      <c r="A372" t="s">
        <v>2223</v>
      </c>
      <c r="B372" t="s">
        <v>2502</v>
      </c>
      <c r="C372" t="s">
        <v>2553</v>
      </c>
      <c r="D372" s="383">
        <v>1491</v>
      </c>
      <c r="E372" s="384">
        <v>74715569.340000004</v>
      </c>
      <c r="F372" s="384">
        <v>0</v>
      </c>
      <c r="G372" s="384">
        <v>0</v>
      </c>
      <c r="H372" s="384">
        <v>0</v>
      </c>
      <c r="I372" s="384">
        <v>0</v>
      </c>
      <c r="J372" s="383">
        <v>1237</v>
      </c>
      <c r="K372" s="383">
        <v>1248</v>
      </c>
    </row>
    <row r="373" spans="1:11" x14ac:dyDescent="0.3">
      <c r="A373" t="s">
        <v>2223</v>
      </c>
      <c r="B373" t="s">
        <v>2502</v>
      </c>
      <c r="C373" t="s">
        <v>2554</v>
      </c>
      <c r="D373" s="383">
        <v>1258</v>
      </c>
      <c r="E373" s="384">
        <v>67981609.129999995</v>
      </c>
      <c r="F373" s="384">
        <v>0</v>
      </c>
      <c r="G373" s="384">
        <v>0</v>
      </c>
      <c r="H373" s="384">
        <v>0</v>
      </c>
      <c r="I373" s="384">
        <v>0</v>
      </c>
      <c r="J373" s="383">
        <v>1016</v>
      </c>
      <c r="K373" s="383">
        <v>1021</v>
      </c>
    </row>
    <row r="374" spans="1:11" x14ac:dyDescent="0.3">
      <c r="A374" t="s">
        <v>2223</v>
      </c>
      <c r="B374" t="s">
        <v>2502</v>
      </c>
      <c r="C374" t="s">
        <v>2555</v>
      </c>
      <c r="D374" s="383">
        <v>1280</v>
      </c>
      <c r="E374" s="384">
        <v>88536550.510000005</v>
      </c>
      <c r="F374" s="384">
        <v>0</v>
      </c>
      <c r="G374" s="384">
        <v>0</v>
      </c>
      <c r="H374" s="384">
        <v>0</v>
      </c>
      <c r="I374" s="384">
        <v>0</v>
      </c>
      <c r="J374" s="383">
        <v>1076</v>
      </c>
      <c r="K374" s="383">
        <v>1080</v>
      </c>
    </row>
    <row r="375" spans="1:11" x14ac:dyDescent="0.3">
      <c r="A375" t="s">
        <v>2223</v>
      </c>
      <c r="B375" t="s">
        <v>2502</v>
      </c>
      <c r="C375" t="s">
        <v>2556</v>
      </c>
      <c r="D375" s="383">
        <v>973</v>
      </c>
      <c r="E375" s="384">
        <v>81525267.859999999</v>
      </c>
      <c r="F375" s="384">
        <v>0</v>
      </c>
      <c r="G375" s="384">
        <v>0</v>
      </c>
      <c r="H375" s="384">
        <v>0</v>
      </c>
      <c r="I375" s="384">
        <v>0</v>
      </c>
      <c r="J375" s="383">
        <v>891</v>
      </c>
      <c r="K375" s="383">
        <v>895</v>
      </c>
    </row>
    <row r="376" spans="1:11" x14ac:dyDescent="0.3">
      <c r="A376" t="s">
        <v>2223</v>
      </c>
      <c r="B376" t="s">
        <v>2502</v>
      </c>
      <c r="C376" t="s">
        <v>2557</v>
      </c>
      <c r="D376" s="383">
        <v>642</v>
      </c>
      <c r="E376" s="384">
        <v>67456266.370000005</v>
      </c>
      <c r="F376" s="384">
        <v>0</v>
      </c>
      <c r="G376" s="384">
        <v>0</v>
      </c>
      <c r="H376" s="384">
        <v>0</v>
      </c>
      <c r="I376" s="384">
        <v>0</v>
      </c>
      <c r="J376" s="383">
        <v>628</v>
      </c>
      <c r="K376" s="383">
        <v>628</v>
      </c>
    </row>
    <row r="377" spans="1:11" x14ac:dyDescent="0.3">
      <c r="A377" t="s">
        <v>2223</v>
      </c>
      <c r="B377" t="s">
        <v>2502</v>
      </c>
      <c r="C377" t="s">
        <v>2558</v>
      </c>
      <c r="D377" s="383">
        <v>339</v>
      </c>
      <c r="E377" s="384">
        <v>42962634.909999996</v>
      </c>
      <c r="F377" s="384">
        <v>0</v>
      </c>
      <c r="G377" s="384">
        <v>0</v>
      </c>
      <c r="H377" s="384">
        <v>0</v>
      </c>
      <c r="I377" s="384">
        <v>0</v>
      </c>
      <c r="J377" s="383">
        <v>334</v>
      </c>
      <c r="K377" s="383">
        <v>334</v>
      </c>
    </row>
    <row r="378" spans="1:11" x14ac:dyDescent="0.3">
      <c r="A378" t="s">
        <v>2223</v>
      </c>
      <c r="B378" t="s">
        <v>2502</v>
      </c>
      <c r="C378" t="s">
        <v>2559</v>
      </c>
      <c r="D378" s="383">
        <v>465</v>
      </c>
      <c r="E378" s="384">
        <v>52114289.93</v>
      </c>
      <c r="F378" s="384">
        <v>0</v>
      </c>
      <c r="G378" s="384">
        <v>0</v>
      </c>
      <c r="H378" s="384">
        <v>0</v>
      </c>
      <c r="I378" s="384">
        <v>0</v>
      </c>
      <c r="J378" s="383">
        <v>457</v>
      </c>
      <c r="K378" s="383">
        <v>457</v>
      </c>
    </row>
    <row r="379" spans="1:11" x14ac:dyDescent="0.3">
      <c r="A379" t="s">
        <v>2223</v>
      </c>
      <c r="B379" t="s">
        <v>2502</v>
      </c>
      <c r="C379" t="s">
        <v>2560</v>
      </c>
      <c r="D379" s="383">
        <v>540</v>
      </c>
      <c r="E379" s="384">
        <v>57180088.810000002</v>
      </c>
      <c r="F379" s="384">
        <v>0</v>
      </c>
      <c r="G379" s="384">
        <v>0</v>
      </c>
      <c r="H379" s="384">
        <v>0</v>
      </c>
      <c r="I379" s="384">
        <v>0</v>
      </c>
      <c r="J379" s="383">
        <v>529</v>
      </c>
      <c r="K379" s="383">
        <v>530</v>
      </c>
    </row>
    <row r="380" spans="1:11" x14ac:dyDescent="0.3">
      <c r="A380" t="s">
        <v>2223</v>
      </c>
      <c r="B380" t="s">
        <v>2502</v>
      </c>
      <c r="C380" t="s">
        <v>2561</v>
      </c>
      <c r="D380" s="383">
        <v>118</v>
      </c>
      <c r="E380" s="384">
        <v>12193286.65</v>
      </c>
      <c r="F380" s="384">
        <v>0</v>
      </c>
      <c r="G380" s="384">
        <v>0</v>
      </c>
      <c r="H380" s="384">
        <v>0</v>
      </c>
      <c r="I380" s="384">
        <v>0</v>
      </c>
      <c r="J380" s="383">
        <v>118</v>
      </c>
      <c r="K380" s="383">
        <v>118</v>
      </c>
    </row>
    <row r="381" spans="1:11" x14ac:dyDescent="0.3">
      <c r="A381" t="s">
        <v>2223</v>
      </c>
      <c r="B381" t="s">
        <v>2502</v>
      </c>
      <c r="C381" t="s">
        <v>2562</v>
      </c>
      <c r="D381" s="383">
        <v>54</v>
      </c>
      <c r="E381" s="384">
        <v>6768100.2800000003</v>
      </c>
      <c r="F381" s="384">
        <v>0</v>
      </c>
      <c r="G381" s="384">
        <v>0</v>
      </c>
      <c r="H381" s="384">
        <v>0</v>
      </c>
      <c r="I381" s="384">
        <v>0</v>
      </c>
      <c r="J381" s="383">
        <v>52</v>
      </c>
      <c r="K381" s="383">
        <v>52</v>
      </c>
    </row>
    <row r="382" spans="1:11" x14ac:dyDescent="0.3">
      <c r="A382" t="s">
        <v>2223</v>
      </c>
      <c r="B382" t="s">
        <v>2502</v>
      </c>
      <c r="C382" t="s">
        <v>2563</v>
      </c>
      <c r="D382" s="383">
        <v>10068</v>
      </c>
      <c r="E382" s="384">
        <v>209115118.31999999</v>
      </c>
      <c r="F382" s="384">
        <v>0</v>
      </c>
      <c r="G382" s="384">
        <v>0</v>
      </c>
      <c r="H382" s="384">
        <v>0</v>
      </c>
      <c r="I382" s="384">
        <v>0</v>
      </c>
      <c r="J382" s="383">
        <v>9108</v>
      </c>
      <c r="K382" s="383">
        <v>9190</v>
      </c>
    </row>
    <row r="383" spans="1:11" x14ac:dyDescent="0.3">
      <c r="A383" t="s">
        <v>2223</v>
      </c>
      <c r="B383" t="s">
        <v>2502</v>
      </c>
      <c r="C383" t="s">
        <v>2564</v>
      </c>
      <c r="D383" s="383">
        <v>4032</v>
      </c>
      <c r="E383" s="384">
        <v>117486293.19</v>
      </c>
      <c r="F383" s="384">
        <v>0</v>
      </c>
      <c r="G383" s="384">
        <v>0</v>
      </c>
      <c r="H383" s="384">
        <v>0</v>
      </c>
      <c r="I383" s="384">
        <v>0</v>
      </c>
      <c r="J383" s="383">
        <v>3715</v>
      </c>
      <c r="K383" s="383">
        <v>3736</v>
      </c>
    </row>
    <row r="384" spans="1:11" x14ac:dyDescent="0.3">
      <c r="A384" t="s">
        <v>2223</v>
      </c>
      <c r="B384" t="s">
        <v>2502</v>
      </c>
      <c r="C384" t="s">
        <v>2565</v>
      </c>
      <c r="D384" s="383">
        <v>3868</v>
      </c>
      <c r="E384" s="384">
        <v>122658752.68000001</v>
      </c>
      <c r="F384" s="384">
        <v>0</v>
      </c>
      <c r="G384" s="384">
        <v>0</v>
      </c>
      <c r="H384" s="384">
        <v>0</v>
      </c>
      <c r="I384" s="384">
        <v>0</v>
      </c>
      <c r="J384" s="383">
        <v>3468</v>
      </c>
      <c r="K384" s="383">
        <v>3495</v>
      </c>
    </row>
    <row r="385" spans="1:11" x14ac:dyDescent="0.3">
      <c r="A385" t="s">
        <v>2223</v>
      </c>
      <c r="B385" t="s">
        <v>2502</v>
      </c>
      <c r="C385" t="s">
        <v>2566</v>
      </c>
      <c r="D385" s="383">
        <v>6735</v>
      </c>
      <c r="E385" s="384">
        <v>252820198.12</v>
      </c>
      <c r="F385" s="384">
        <v>0</v>
      </c>
      <c r="G385" s="384">
        <v>0</v>
      </c>
      <c r="H385" s="384">
        <v>0</v>
      </c>
      <c r="I385" s="384">
        <v>0</v>
      </c>
      <c r="J385" s="383">
        <v>5901</v>
      </c>
      <c r="K385" s="383">
        <v>5953</v>
      </c>
    </row>
    <row r="386" spans="1:11" x14ac:dyDescent="0.3">
      <c r="A386" t="s">
        <v>2223</v>
      </c>
      <c r="B386" t="s">
        <v>2502</v>
      </c>
      <c r="C386" t="s">
        <v>2567</v>
      </c>
      <c r="D386" s="383">
        <v>11425</v>
      </c>
      <c r="E386" s="384">
        <v>388276860.64999998</v>
      </c>
      <c r="F386" s="384">
        <v>0</v>
      </c>
      <c r="G386" s="384">
        <v>0</v>
      </c>
      <c r="H386" s="384">
        <v>0</v>
      </c>
      <c r="I386" s="384">
        <v>0</v>
      </c>
      <c r="J386" s="383">
        <v>9172</v>
      </c>
      <c r="K386" s="383">
        <v>9287</v>
      </c>
    </row>
    <row r="387" spans="1:11" x14ac:dyDescent="0.3">
      <c r="A387" t="s">
        <v>2223</v>
      </c>
      <c r="B387" t="s">
        <v>2502</v>
      </c>
      <c r="C387" t="s">
        <v>2568</v>
      </c>
      <c r="D387" s="383">
        <v>8585</v>
      </c>
      <c r="E387" s="384">
        <v>326705643.81999999</v>
      </c>
      <c r="F387" s="384">
        <v>0</v>
      </c>
      <c r="G387" s="384">
        <v>0</v>
      </c>
      <c r="H387" s="384">
        <v>0</v>
      </c>
      <c r="I387" s="384">
        <v>0</v>
      </c>
      <c r="J387" s="383">
        <v>7159</v>
      </c>
      <c r="K387" s="383">
        <v>7242</v>
      </c>
    </row>
    <row r="388" spans="1:11" x14ac:dyDescent="0.3">
      <c r="A388" t="s">
        <v>2223</v>
      </c>
      <c r="B388" t="s">
        <v>2502</v>
      </c>
      <c r="C388" t="s">
        <v>2569</v>
      </c>
      <c r="D388" s="383">
        <v>9303</v>
      </c>
      <c r="E388" s="384">
        <v>455002082.38999999</v>
      </c>
      <c r="F388" s="384">
        <v>0</v>
      </c>
      <c r="G388" s="384">
        <v>0</v>
      </c>
      <c r="H388" s="384">
        <v>0</v>
      </c>
      <c r="I388" s="384">
        <v>0</v>
      </c>
      <c r="J388" s="383">
        <v>8311</v>
      </c>
      <c r="K388" s="383">
        <v>8405</v>
      </c>
    </row>
    <row r="389" spans="1:11" x14ac:dyDescent="0.3">
      <c r="A389" t="s">
        <v>2223</v>
      </c>
      <c r="B389" t="s">
        <v>2502</v>
      </c>
      <c r="C389" t="s">
        <v>2570</v>
      </c>
      <c r="D389" s="383">
        <v>9150</v>
      </c>
      <c r="E389" s="384">
        <v>485689088.88999999</v>
      </c>
      <c r="F389" s="384">
        <v>0</v>
      </c>
      <c r="G389" s="384">
        <v>0</v>
      </c>
      <c r="H389" s="384">
        <v>0</v>
      </c>
      <c r="I389" s="384">
        <v>0</v>
      </c>
      <c r="J389" s="383">
        <v>8231</v>
      </c>
      <c r="K389" s="383">
        <v>8337</v>
      </c>
    </row>
    <row r="390" spans="1:11" x14ac:dyDescent="0.3">
      <c r="A390" t="s">
        <v>2223</v>
      </c>
      <c r="B390" t="s">
        <v>2502</v>
      </c>
      <c r="C390" t="s">
        <v>2571</v>
      </c>
      <c r="D390" s="383">
        <v>10685</v>
      </c>
      <c r="E390" s="384">
        <v>671198865.57000005</v>
      </c>
      <c r="F390" s="384">
        <v>0</v>
      </c>
      <c r="G390" s="384">
        <v>0</v>
      </c>
      <c r="H390" s="384">
        <v>0</v>
      </c>
      <c r="I390" s="384">
        <v>0</v>
      </c>
      <c r="J390" s="383">
        <v>9863</v>
      </c>
      <c r="K390" s="383">
        <v>10004</v>
      </c>
    </row>
    <row r="391" spans="1:11" x14ac:dyDescent="0.3">
      <c r="A391" t="s">
        <v>2223</v>
      </c>
      <c r="B391" t="s">
        <v>2502</v>
      </c>
      <c r="C391" t="s">
        <v>2572</v>
      </c>
      <c r="D391" s="383">
        <v>10893</v>
      </c>
      <c r="E391" s="384">
        <v>777103674.62</v>
      </c>
      <c r="F391" s="384">
        <v>0</v>
      </c>
      <c r="G391" s="384">
        <v>0</v>
      </c>
      <c r="H391" s="384">
        <v>0</v>
      </c>
      <c r="I391" s="384">
        <v>0</v>
      </c>
      <c r="J391" s="383">
        <v>10111</v>
      </c>
      <c r="K391" s="383">
        <v>10267</v>
      </c>
    </row>
    <row r="392" spans="1:11" x14ac:dyDescent="0.3">
      <c r="A392" t="s">
        <v>2223</v>
      </c>
      <c r="B392" t="s">
        <v>2502</v>
      </c>
      <c r="C392" t="s">
        <v>2573</v>
      </c>
      <c r="D392" s="383">
        <v>13330</v>
      </c>
      <c r="E392" s="384">
        <v>1165994653.97</v>
      </c>
      <c r="F392" s="384">
        <v>0</v>
      </c>
      <c r="G392" s="384">
        <v>0</v>
      </c>
      <c r="H392" s="384">
        <v>0</v>
      </c>
      <c r="I392" s="384">
        <v>0</v>
      </c>
      <c r="J392" s="383">
        <v>12393</v>
      </c>
      <c r="K392" s="383">
        <v>12587</v>
      </c>
    </row>
    <row r="393" spans="1:11" x14ac:dyDescent="0.3">
      <c r="A393" t="s">
        <v>2223</v>
      </c>
      <c r="B393" t="s">
        <v>2502</v>
      </c>
      <c r="C393" t="s">
        <v>2574</v>
      </c>
      <c r="D393" s="383">
        <v>10925</v>
      </c>
      <c r="E393" s="384">
        <v>1057066136.22</v>
      </c>
      <c r="F393" s="384">
        <v>0</v>
      </c>
      <c r="G393" s="384">
        <v>0</v>
      </c>
      <c r="H393" s="384">
        <v>0</v>
      </c>
      <c r="I393" s="384">
        <v>0</v>
      </c>
      <c r="J393" s="383">
        <v>10081</v>
      </c>
      <c r="K393" s="383">
        <v>10290</v>
      </c>
    </row>
    <row r="394" spans="1:11" x14ac:dyDescent="0.3">
      <c r="A394" t="s">
        <v>2223</v>
      </c>
      <c r="B394" t="s">
        <v>2502</v>
      </c>
      <c r="C394" t="s">
        <v>2575</v>
      </c>
      <c r="D394" s="383">
        <v>12413</v>
      </c>
      <c r="E394" s="384">
        <v>1376220736.46</v>
      </c>
      <c r="F394" s="384">
        <v>0</v>
      </c>
      <c r="G394" s="384">
        <v>0</v>
      </c>
      <c r="H394" s="384">
        <v>0</v>
      </c>
      <c r="I394" s="384">
        <v>0</v>
      </c>
      <c r="J394" s="383">
        <v>11525</v>
      </c>
      <c r="K394" s="383">
        <v>11785</v>
      </c>
    </row>
    <row r="395" spans="1:11" x14ac:dyDescent="0.3">
      <c r="A395" t="s">
        <v>2223</v>
      </c>
      <c r="B395" t="s">
        <v>2502</v>
      </c>
      <c r="C395" t="s">
        <v>2576</v>
      </c>
      <c r="D395" s="383">
        <v>13204</v>
      </c>
      <c r="E395" s="384">
        <v>1661694363.55</v>
      </c>
      <c r="F395" s="384">
        <v>0</v>
      </c>
      <c r="G395" s="384">
        <v>0</v>
      </c>
      <c r="H395" s="384">
        <v>0</v>
      </c>
      <c r="I395" s="384">
        <v>0</v>
      </c>
      <c r="J395" s="383">
        <v>12321</v>
      </c>
      <c r="K395" s="383">
        <v>12552</v>
      </c>
    </row>
    <row r="396" spans="1:11" x14ac:dyDescent="0.3">
      <c r="A396" t="s">
        <v>2223</v>
      </c>
      <c r="B396" t="s">
        <v>2502</v>
      </c>
      <c r="C396" t="s">
        <v>2577</v>
      </c>
      <c r="D396" s="383">
        <v>13653</v>
      </c>
      <c r="E396" s="384">
        <v>1855397286.01</v>
      </c>
      <c r="F396" s="384">
        <v>0</v>
      </c>
      <c r="G396" s="384">
        <v>0</v>
      </c>
      <c r="H396" s="384">
        <v>0</v>
      </c>
      <c r="I396" s="384">
        <v>0</v>
      </c>
      <c r="J396" s="383">
        <v>12842</v>
      </c>
      <c r="K396" s="383">
        <v>13127</v>
      </c>
    </row>
    <row r="397" spans="1:11" x14ac:dyDescent="0.3">
      <c r="A397" t="s">
        <v>2223</v>
      </c>
      <c r="B397" t="s">
        <v>2502</v>
      </c>
      <c r="C397" t="s">
        <v>2578</v>
      </c>
      <c r="D397" s="383">
        <v>11188</v>
      </c>
      <c r="E397" s="384">
        <v>1663842700.3699999</v>
      </c>
      <c r="F397" s="384">
        <v>0</v>
      </c>
      <c r="G397" s="384">
        <v>0</v>
      </c>
      <c r="H397" s="384">
        <v>0</v>
      </c>
      <c r="I397" s="384">
        <v>0</v>
      </c>
      <c r="J397" s="383">
        <v>10638</v>
      </c>
      <c r="K397" s="383">
        <v>10845</v>
      </c>
    </row>
    <row r="398" spans="1:11" x14ac:dyDescent="0.3">
      <c r="A398" t="s">
        <v>2223</v>
      </c>
      <c r="B398" t="s">
        <v>2502</v>
      </c>
      <c r="C398" t="s">
        <v>2579</v>
      </c>
      <c r="D398" s="383">
        <v>7076</v>
      </c>
      <c r="E398" s="384">
        <v>1091189763.6099999</v>
      </c>
      <c r="F398" s="384">
        <v>0</v>
      </c>
      <c r="G398" s="384">
        <v>0</v>
      </c>
      <c r="H398" s="384">
        <v>0</v>
      </c>
      <c r="I398" s="384">
        <v>0</v>
      </c>
      <c r="J398" s="383">
        <v>6714</v>
      </c>
      <c r="K398" s="383">
        <v>6833</v>
      </c>
    </row>
    <row r="399" spans="1:11" x14ac:dyDescent="0.3">
      <c r="A399" t="s">
        <v>2223</v>
      </c>
      <c r="B399" t="s">
        <v>2502</v>
      </c>
      <c r="C399" t="s">
        <v>2580</v>
      </c>
      <c r="D399" s="383">
        <v>6140</v>
      </c>
      <c r="E399" s="384">
        <v>894629465.95000005</v>
      </c>
      <c r="F399" s="384">
        <v>0</v>
      </c>
      <c r="G399" s="384">
        <v>0</v>
      </c>
      <c r="H399" s="384">
        <v>0</v>
      </c>
      <c r="I399" s="384">
        <v>0</v>
      </c>
      <c r="J399" s="383">
        <v>5744</v>
      </c>
      <c r="K399" s="383">
        <v>5812</v>
      </c>
    </row>
    <row r="400" spans="1:11" x14ac:dyDescent="0.3">
      <c r="A400" t="s">
        <v>2223</v>
      </c>
      <c r="B400" t="s">
        <v>2502</v>
      </c>
      <c r="C400" t="s">
        <v>2581</v>
      </c>
      <c r="D400" s="383">
        <v>5127</v>
      </c>
      <c r="E400" s="384">
        <v>750827054.45000005</v>
      </c>
      <c r="F400" s="384">
        <v>0</v>
      </c>
      <c r="G400" s="384">
        <v>0</v>
      </c>
      <c r="H400" s="384">
        <v>0</v>
      </c>
      <c r="I400" s="384">
        <v>0</v>
      </c>
      <c r="J400" s="383">
        <v>4796</v>
      </c>
      <c r="K400" s="383">
        <v>4862</v>
      </c>
    </row>
    <row r="401" spans="1:11" x14ac:dyDescent="0.3">
      <c r="A401" t="s">
        <v>2223</v>
      </c>
      <c r="B401" t="s">
        <v>2502</v>
      </c>
      <c r="C401" t="s">
        <v>2582</v>
      </c>
      <c r="D401" s="383">
        <v>882</v>
      </c>
      <c r="E401" s="384">
        <v>124493747.41</v>
      </c>
      <c r="F401" s="384">
        <v>0</v>
      </c>
      <c r="G401" s="384">
        <v>0</v>
      </c>
      <c r="H401" s="384">
        <v>0</v>
      </c>
      <c r="I401" s="384">
        <v>0</v>
      </c>
      <c r="J401" s="383">
        <v>825</v>
      </c>
      <c r="K401" s="383">
        <v>832</v>
      </c>
    </row>
    <row r="402" spans="1:11" x14ac:dyDescent="0.3">
      <c r="A402" t="s">
        <v>2223</v>
      </c>
      <c r="B402" t="s">
        <v>2502</v>
      </c>
      <c r="C402" t="s">
        <v>2583</v>
      </c>
      <c r="D402" s="383">
        <v>377</v>
      </c>
      <c r="E402" s="384">
        <v>4078791.85</v>
      </c>
      <c r="F402" s="384">
        <v>0</v>
      </c>
      <c r="G402" s="384">
        <v>0</v>
      </c>
      <c r="H402" s="384">
        <v>0</v>
      </c>
      <c r="I402" s="384">
        <v>0</v>
      </c>
      <c r="J402" s="383">
        <v>373</v>
      </c>
      <c r="K402" s="383">
        <v>374</v>
      </c>
    </row>
    <row r="403" spans="1:11" x14ac:dyDescent="0.3">
      <c r="A403" t="s">
        <v>2223</v>
      </c>
      <c r="B403" t="s">
        <v>2502</v>
      </c>
      <c r="C403" t="s">
        <v>2584</v>
      </c>
      <c r="D403" s="383">
        <v>193</v>
      </c>
      <c r="E403" s="384">
        <v>3188457.08</v>
      </c>
      <c r="F403" s="384">
        <v>0</v>
      </c>
      <c r="G403" s="384">
        <v>0</v>
      </c>
      <c r="H403" s="384">
        <v>0</v>
      </c>
      <c r="I403" s="384">
        <v>0</v>
      </c>
      <c r="J403" s="383">
        <v>188</v>
      </c>
      <c r="K403" s="383">
        <v>188</v>
      </c>
    </row>
    <row r="404" spans="1:11" x14ac:dyDescent="0.3">
      <c r="A404" t="s">
        <v>2223</v>
      </c>
      <c r="B404" t="s">
        <v>2502</v>
      </c>
      <c r="C404" t="s">
        <v>2585</v>
      </c>
      <c r="D404" s="383">
        <v>204</v>
      </c>
      <c r="E404" s="384">
        <v>3424509.33</v>
      </c>
      <c r="F404" s="384">
        <v>0</v>
      </c>
      <c r="G404" s="384">
        <v>0</v>
      </c>
      <c r="H404" s="384">
        <v>0</v>
      </c>
      <c r="I404" s="384">
        <v>0</v>
      </c>
      <c r="J404" s="383">
        <v>204</v>
      </c>
      <c r="K404" s="383">
        <v>204</v>
      </c>
    </row>
    <row r="405" spans="1:11" x14ac:dyDescent="0.3">
      <c r="A405" t="s">
        <v>2223</v>
      </c>
      <c r="B405" t="s">
        <v>2502</v>
      </c>
      <c r="C405" t="s">
        <v>2586</v>
      </c>
      <c r="D405" s="383">
        <v>348</v>
      </c>
      <c r="E405" s="384">
        <v>7325547.3099999996</v>
      </c>
      <c r="F405" s="384">
        <v>0</v>
      </c>
      <c r="G405" s="384">
        <v>0</v>
      </c>
      <c r="H405" s="384">
        <v>0</v>
      </c>
      <c r="I405" s="384">
        <v>0</v>
      </c>
      <c r="J405" s="383">
        <v>346</v>
      </c>
      <c r="K405" s="383">
        <v>346</v>
      </c>
    </row>
    <row r="406" spans="1:11" x14ac:dyDescent="0.3">
      <c r="A406" t="s">
        <v>2223</v>
      </c>
      <c r="B406" t="s">
        <v>2502</v>
      </c>
      <c r="C406" t="s">
        <v>2587</v>
      </c>
      <c r="D406" s="383">
        <v>698</v>
      </c>
      <c r="E406" s="384">
        <v>11536350.51</v>
      </c>
      <c r="F406" s="384">
        <v>0</v>
      </c>
      <c r="G406" s="384">
        <v>0</v>
      </c>
      <c r="H406" s="384">
        <v>0</v>
      </c>
      <c r="I406" s="384">
        <v>0</v>
      </c>
      <c r="J406" s="383">
        <v>670</v>
      </c>
      <c r="K406" s="383">
        <v>671</v>
      </c>
    </row>
    <row r="407" spans="1:11" x14ac:dyDescent="0.3">
      <c r="A407" t="s">
        <v>2223</v>
      </c>
      <c r="B407" t="s">
        <v>2502</v>
      </c>
      <c r="C407" t="s">
        <v>2588</v>
      </c>
      <c r="D407" s="383">
        <v>439</v>
      </c>
      <c r="E407" s="384">
        <v>9871209.7300000004</v>
      </c>
      <c r="F407" s="384">
        <v>0</v>
      </c>
      <c r="G407" s="384">
        <v>0</v>
      </c>
      <c r="H407" s="384">
        <v>0</v>
      </c>
      <c r="I407" s="384">
        <v>0</v>
      </c>
      <c r="J407" s="383">
        <v>418</v>
      </c>
      <c r="K407" s="383">
        <v>418</v>
      </c>
    </row>
    <row r="408" spans="1:11" x14ac:dyDescent="0.3">
      <c r="A408" t="s">
        <v>2223</v>
      </c>
      <c r="B408" t="s">
        <v>2502</v>
      </c>
      <c r="C408" t="s">
        <v>2589</v>
      </c>
      <c r="D408" s="383">
        <v>692</v>
      </c>
      <c r="E408" s="384">
        <v>28665113.98</v>
      </c>
      <c r="F408" s="384">
        <v>0</v>
      </c>
      <c r="G408" s="384">
        <v>0</v>
      </c>
      <c r="H408" s="384">
        <v>0</v>
      </c>
      <c r="I408" s="384">
        <v>0</v>
      </c>
      <c r="J408" s="383">
        <v>674</v>
      </c>
      <c r="K408" s="383">
        <v>676</v>
      </c>
    </row>
    <row r="409" spans="1:11" x14ac:dyDescent="0.3">
      <c r="A409" t="s">
        <v>2223</v>
      </c>
      <c r="B409" t="s">
        <v>2502</v>
      </c>
      <c r="C409" t="s">
        <v>2590</v>
      </c>
      <c r="D409" s="383">
        <v>1170</v>
      </c>
      <c r="E409" s="384">
        <v>49492787.189999998</v>
      </c>
      <c r="F409" s="384">
        <v>0</v>
      </c>
      <c r="G409" s="384">
        <v>0</v>
      </c>
      <c r="H409" s="384">
        <v>0</v>
      </c>
      <c r="I409" s="384">
        <v>0</v>
      </c>
      <c r="J409" s="383">
        <v>1151</v>
      </c>
      <c r="K409" s="383">
        <v>1156</v>
      </c>
    </row>
    <row r="410" spans="1:11" x14ac:dyDescent="0.3">
      <c r="A410" t="s">
        <v>2223</v>
      </c>
      <c r="B410" t="s">
        <v>2502</v>
      </c>
      <c r="C410" t="s">
        <v>2591</v>
      </c>
      <c r="D410" s="383">
        <v>2652</v>
      </c>
      <c r="E410" s="384">
        <v>128445385.97</v>
      </c>
      <c r="F410" s="384">
        <v>0</v>
      </c>
      <c r="G410" s="384">
        <v>0</v>
      </c>
      <c r="H410" s="384">
        <v>0</v>
      </c>
      <c r="I410" s="384">
        <v>0</v>
      </c>
      <c r="J410" s="383">
        <v>2610</v>
      </c>
      <c r="K410" s="383">
        <v>2616</v>
      </c>
    </row>
    <row r="411" spans="1:11" x14ac:dyDescent="0.3">
      <c r="A411" t="s">
        <v>2223</v>
      </c>
      <c r="B411" t="s">
        <v>2502</v>
      </c>
      <c r="C411" t="s">
        <v>2592</v>
      </c>
      <c r="D411" s="383">
        <v>9520</v>
      </c>
      <c r="E411" s="384">
        <v>545670531.80999994</v>
      </c>
      <c r="F411" s="384">
        <v>0</v>
      </c>
      <c r="G411" s="384">
        <v>0</v>
      </c>
      <c r="H411" s="384">
        <v>0</v>
      </c>
      <c r="I411" s="384">
        <v>0</v>
      </c>
      <c r="J411" s="383">
        <v>8997</v>
      </c>
      <c r="K411" s="383">
        <v>9149</v>
      </c>
    </row>
    <row r="412" spans="1:11" x14ac:dyDescent="0.3">
      <c r="A412" t="s">
        <v>2223</v>
      </c>
      <c r="B412" t="s">
        <v>2502</v>
      </c>
      <c r="C412" t="s">
        <v>2593</v>
      </c>
      <c r="D412" s="383">
        <v>16217</v>
      </c>
      <c r="E412" s="384">
        <v>1100702909.4200001</v>
      </c>
      <c r="F412" s="384">
        <v>0</v>
      </c>
      <c r="G412" s="384">
        <v>0</v>
      </c>
      <c r="H412" s="384">
        <v>0</v>
      </c>
      <c r="I412" s="384">
        <v>0</v>
      </c>
      <c r="J412" s="383">
        <v>15428</v>
      </c>
      <c r="K412" s="383">
        <v>15712</v>
      </c>
    </row>
    <row r="413" spans="1:11" x14ac:dyDescent="0.3">
      <c r="A413" t="s">
        <v>2223</v>
      </c>
      <c r="B413" t="s">
        <v>2502</v>
      </c>
      <c r="C413" t="s">
        <v>2594</v>
      </c>
      <c r="D413" s="383">
        <v>16012</v>
      </c>
      <c r="E413" s="384">
        <v>1321644944.8599999</v>
      </c>
      <c r="F413" s="384">
        <v>0</v>
      </c>
      <c r="G413" s="384">
        <v>0</v>
      </c>
      <c r="H413" s="384">
        <v>0</v>
      </c>
      <c r="I413" s="384">
        <v>0</v>
      </c>
      <c r="J413" s="383">
        <v>14981</v>
      </c>
      <c r="K413" s="383">
        <v>15202</v>
      </c>
    </row>
    <row r="414" spans="1:11" x14ac:dyDescent="0.3">
      <c r="A414" t="s">
        <v>2223</v>
      </c>
      <c r="B414" t="s">
        <v>2502</v>
      </c>
      <c r="C414" t="s">
        <v>2595</v>
      </c>
      <c r="D414" s="383">
        <v>18748</v>
      </c>
      <c r="E414" s="384">
        <v>1763873941.01</v>
      </c>
      <c r="F414" s="384">
        <v>0</v>
      </c>
      <c r="G414" s="384">
        <v>0</v>
      </c>
      <c r="H414" s="384">
        <v>0</v>
      </c>
      <c r="I414" s="384">
        <v>0</v>
      </c>
      <c r="J414" s="383">
        <v>17561</v>
      </c>
      <c r="K414" s="383">
        <v>17852</v>
      </c>
    </row>
    <row r="415" spans="1:11" x14ac:dyDescent="0.3">
      <c r="A415" t="s">
        <v>2223</v>
      </c>
      <c r="B415" t="s">
        <v>2502</v>
      </c>
      <c r="C415" t="s">
        <v>2596</v>
      </c>
      <c r="D415" s="383">
        <v>27800</v>
      </c>
      <c r="E415" s="384">
        <v>3031119440.0999999</v>
      </c>
      <c r="F415" s="384">
        <v>0</v>
      </c>
      <c r="G415" s="384">
        <v>0</v>
      </c>
      <c r="H415" s="384">
        <v>0</v>
      </c>
      <c r="I415" s="384">
        <v>0</v>
      </c>
      <c r="J415" s="383">
        <v>26254</v>
      </c>
      <c r="K415" s="383">
        <v>26773</v>
      </c>
    </row>
    <row r="416" spans="1:11" x14ac:dyDescent="0.3">
      <c r="A416" t="s">
        <v>2223</v>
      </c>
      <c r="B416" t="s">
        <v>2502</v>
      </c>
      <c r="C416" t="s">
        <v>2597</v>
      </c>
      <c r="D416" s="383">
        <v>30650</v>
      </c>
      <c r="E416" s="384">
        <v>3578515313.5700002</v>
      </c>
      <c r="F416" s="384">
        <v>0</v>
      </c>
      <c r="G416" s="384">
        <v>0</v>
      </c>
      <c r="H416" s="384">
        <v>0</v>
      </c>
      <c r="I416" s="384">
        <v>0</v>
      </c>
      <c r="J416" s="383">
        <v>29407</v>
      </c>
      <c r="K416" s="383">
        <v>29927</v>
      </c>
    </row>
    <row r="417" spans="1:11" x14ac:dyDescent="0.3">
      <c r="A417" t="s">
        <v>2223</v>
      </c>
      <c r="B417" t="s">
        <v>2502</v>
      </c>
      <c r="C417" t="s">
        <v>2598</v>
      </c>
      <c r="D417" s="383">
        <v>23948</v>
      </c>
      <c r="E417" s="384">
        <v>3154200165.8099999</v>
      </c>
      <c r="F417" s="384">
        <v>0</v>
      </c>
      <c r="G417" s="384">
        <v>0</v>
      </c>
      <c r="H417" s="384">
        <v>0</v>
      </c>
      <c r="I417" s="384">
        <v>0</v>
      </c>
      <c r="J417" s="383">
        <v>23437</v>
      </c>
      <c r="K417" s="383">
        <v>23659</v>
      </c>
    </row>
    <row r="418" spans="1:11" x14ac:dyDescent="0.3">
      <c r="A418" t="s">
        <v>2223</v>
      </c>
      <c r="B418" t="s">
        <v>2502</v>
      </c>
      <c r="C418" t="s">
        <v>2599</v>
      </c>
      <c r="D418" s="383">
        <v>10044</v>
      </c>
      <c r="E418" s="384">
        <v>1229323482.52</v>
      </c>
      <c r="F418" s="384">
        <v>0</v>
      </c>
      <c r="G418" s="384">
        <v>0</v>
      </c>
      <c r="H418" s="384">
        <v>0</v>
      </c>
      <c r="I418" s="384">
        <v>0</v>
      </c>
      <c r="J418" s="383">
        <v>9612</v>
      </c>
      <c r="K418" s="383">
        <v>9644</v>
      </c>
    </row>
    <row r="419" spans="1:11" x14ac:dyDescent="0.3">
      <c r="A419" t="s">
        <v>2223</v>
      </c>
      <c r="B419" t="s">
        <v>2502</v>
      </c>
      <c r="C419" t="s">
        <v>2600</v>
      </c>
      <c r="D419" s="383">
        <v>5024</v>
      </c>
      <c r="E419" s="384">
        <v>620719205.55999994</v>
      </c>
      <c r="F419" s="384">
        <v>0</v>
      </c>
      <c r="G419" s="384">
        <v>0</v>
      </c>
      <c r="H419" s="384">
        <v>0</v>
      </c>
      <c r="I419" s="384">
        <v>0</v>
      </c>
      <c r="J419" s="383">
        <v>4780</v>
      </c>
      <c r="K419" s="383">
        <v>4780</v>
      </c>
    </row>
    <row r="420" spans="1:11" x14ac:dyDescent="0.3">
      <c r="A420" t="s">
        <v>2223</v>
      </c>
      <c r="B420" t="s">
        <v>2502</v>
      </c>
      <c r="C420" t="s">
        <v>2601</v>
      </c>
      <c r="D420" s="383">
        <v>4971</v>
      </c>
      <c r="E420" s="384">
        <v>675053170.70000005</v>
      </c>
      <c r="F420" s="384">
        <v>0</v>
      </c>
      <c r="G420" s="384">
        <v>0</v>
      </c>
      <c r="H420" s="384">
        <v>0</v>
      </c>
      <c r="I420" s="384">
        <v>0</v>
      </c>
      <c r="J420" s="383">
        <v>4777</v>
      </c>
      <c r="K420" s="383">
        <v>4785</v>
      </c>
    </row>
    <row r="421" spans="1:11" x14ac:dyDescent="0.3">
      <c r="A421" t="s">
        <v>2223</v>
      </c>
      <c r="B421" t="s">
        <v>2502</v>
      </c>
      <c r="C421" t="s">
        <v>2602</v>
      </c>
      <c r="D421" s="383">
        <v>147</v>
      </c>
      <c r="E421" s="384">
        <v>19941086.960000001</v>
      </c>
      <c r="F421" s="384">
        <v>0</v>
      </c>
      <c r="G421" s="384">
        <v>0</v>
      </c>
      <c r="H421" s="384">
        <v>0</v>
      </c>
      <c r="I421" s="384">
        <v>0</v>
      </c>
      <c r="J421" s="383">
        <v>142</v>
      </c>
      <c r="K421" s="383">
        <v>142</v>
      </c>
    </row>
    <row r="422" spans="1:11" x14ac:dyDescent="0.3">
      <c r="A422" t="s">
        <v>2223</v>
      </c>
      <c r="B422" t="s">
        <v>2603</v>
      </c>
      <c r="C422" t="s">
        <v>2604</v>
      </c>
      <c r="D422" s="383">
        <v>33272</v>
      </c>
      <c r="E422" s="384">
        <v>205369041.77000001</v>
      </c>
      <c r="F422" s="384">
        <v>0</v>
      </c>
      <c r="G422" s="384">
        <v>0</v>
      </c>
      <c r="H422" s="384">
        <v>0</v>
      </c>
      <c r="I422" s="384">
        <v>0</v>
      </c>
      <c r="J422" s="383">
        <v>32299</v>
      </c>
      <c r="K422" s="383">
        <v>32691</v>
      </c>
    </row>
    <row r="423" spans="1:11" x14ac:dyDescent="0.3">
      <c r="A423" t="s">
        <v>2223</v>
      </c>
      <c r="B423" t="s">
        <v>2603</v>
      </c>
      <c r="C423" t="s">
        <v>2605</v>
      </c>
      <c r="D423" s="383">
        <v>29503</v>
      </c>
      <c r="E423" s="384">
        <v>2140219910.01</v>
      </c>
      <c r="F423" s="384">
        <v>0</v>
      </c>
      <c r="G423" s="384">
        <v>0</v>
      </c>
      <c r="H423" s="384">
        <v>0</v>
      </c>
      <c r="I423" s="384">
        <v>0</v>
      </c>
      <c r="J423" s="383">
        <v>28645</v>
      </c>
      <c r="K423" s="383">
        <v>28960</v>
      </c>
    </row>
    <row r="424" spans="1:11" x14ac:dyDescent="0.3">
      <c r="A424" t="s">
        <v>2223</v>
      </c>
      <c r="B424" t="s">
        <v>2603</v>
      </c>
      <c r="C424" t="s">
        <v>2606</v>
      </c>
      <c r="D424" s="383">
        <v>33500</v>
      </c>
      <c r="E424" s="384">
        <v>2715810599.0700002</v>
      </c>
      <c r="F424" s="384">
        <v>0</v>
      </c>
      <c r="G424" s="384">
        <v>0</v>
      </c>
      <c r="H424" s="384">
        <v>0</v>
      </c>
      <c r="I424" s="384">
        <v>0</v>
      </c>
      <c r="J424" s="383">
        <v>32154</v>
      </c>
      <c r="K424" s="383">
        <v>32586</v>
      </c>
    </row>
    <row r="425" spans="1:11" x14ac:dyDescent="0.3">
      <c r="A425" t="s">
        <v>2223</v>
      </c>
      <c r="B425" t="s">
        <v>2603</v>
      </c>
      <c r="C425" t="s">
        <v>2607</v>
      </c>
      <c r="D425" s="383">
        <v>28828</v>
      </c>
      <c r="E425" s="384">
        <v>2424103232.9200001</v>
      </c>
      <c r="F425" s="384">
        <v>0</v>
      </c>
      <c r="G425" s="384">
        <v>0</v>
      </c>
      <c r="H425" s="384">
        <v>0</v>
      </c>
      <c r="I425" s="384">
        <v>0</v>
      </c>
      <c r="J425" s="383">
        <v>27515</v>
      </c>
      <c r="K425" s="383">
        <v>27800</v>
      </c>
    </row>
    <row r="426" spans="1:11" x14ac:dyDescent="0.3">
      <c r="A426" t="s">
        <v>2223</v>
      </c>
      <c r="B426" t="s">
        <v>2603</v>
      </c>
      <c r="C426" t="s">
        <v>2608</v>
      </c>
      <c r="D426" s="383">
        <v>27532</v>
      </c>
      <c r="E426" s="384">
        <v>2516203284.8200002</v>
      </c>
      <c r="F426" s="384">
        <v>0</v>
      </c>
      <c r="G426" s="384">
        <v>0</v>
      </c>
      <c r="H426" s="384">
        <v>0</v>
      </c>
      <c r="I426" s="384">
        <v>0</v>
      </c>
      <c r="J426" s="383">
        <v>26325</v>
      </c>
      <c r="K426" s="383">
        <v>26613</v>
      </c>
    </row>
    <row r="427" spans="1:11" x14ac:dyDescent="0.3">
      <c r="A427" t="s">
        <v>2223</v>
      </c>
      <c r="B427" t="s">
        <v>2603</v>
      </c>
      <c r="C427" t="s">
        <v>2609</v>
      </c>
      <c r="D427" s="383">
        <v>26497</v>
      </c>
      <c r="E427" s="384">
        <v>2780199924.0300002</v>
      </c>
      <c r="F427" s="384">
        <v>0</v>
      </c>
      <c r="G427" s="384">
        <v>0</v>
      </c>
      <c r="H427" s="384">
        <v>0</v>
      </c>
      <c r="I427" s="384">
        <v>0</v>
      </c>
      <c r="J427" s="383">
        <v>25671</v>
      </c>
      <c r="K427" s="383">
        <v>25954</v>
      </c>
    </row>
    <row r="428" spans="1:11" x14ac:dyDescent="0.3">
      <c r="A428" t="s">
        <v>2223</v>
      </c>
      <c r="B428" t="s">
        <v>2603</v>
      </c>
      <c r="C428" t="s">
        <v>2610</v>
      </c>
      <c r="D428" s="383">
        <v>24055</v>
      </c>
      <c r="E428" s="384">
        <v>2796954755.5999999</v>
      </c>
      <c r="F428" s="384">
        <v>0</v>
      </c>
      <c r="G428" s="384">
        <v>0</v>
      </c>
      <c r="H428" s="384">
        <v>0</v>
      </c>
      <c r="I428" s="384">
        <v>0</v>
      </c>
      <c r="J428" s="383">
        <v>23463</v>
      </c>
      <c r="K428" s="383">
        <v>23699</v>
      </c>
    </row>
    <row r="429" spans="1:11" x14ac:dyDescent="0.3">
      <c r="A429" t="s">
        <v>2223</v>
      </c>
      <c r="B429" t="s">
        <v>2603</v>
      </c>
      <c r="C429" t="s">
        <v>2611</v>
      </c>
      <c r="D429" s="383">
        <v>24718</v>
      </c>
      <c r="E429" s="384">
        <v>2986173689.8400002</v>
      </c>
      <c r="F429" s="384">
        <v>0</v>
      </c>
      <c r="G429" s="384">
        <v>0</v>
      </c>
      <c r="H429" s="384">
        <v>0</v>
      </c>
      <c r="I429" s="384">
        <v>0</v>
      </c>
      <c r="J429" s="383">
        <v>24013</v>
      </c>
      <c r="K429" s="383">
        <v>24216</v>
      </c>
    </row>
    <row r="430" spans="1:11" x14ac:dyDescent="0.3">
      <c r="A430" t="s">
        <v>2223</v>
      </c>
      <c r="B430" t="s">
        <v>2603</v>
      </c>
      <c r="C430" t="s">
        <v>2612</v>
      </c>
      <c r="D430" s="383">
        <v>21278</v>
      </c>
      <c r="E430" s="384">
        <v>2563007330.8099999</v>
      </c>
      <c r="F430" s="384">
        <v>0</v>
      </c>
      <c r="G430" s="384">
        <v>0</v>
      </c>
      <c r="H430" s="384">
        <v>0</v>
      </c>
      <c r="I430" s="384">
        <v>0</v>
      </c>
      <c r="J430" s="383">
        <v>20717</v>
      </c>
      <c r="K430" s="383">
        <v>20844</v>
      </c>
    </row>
    <row r="431" spans="1:11" x14ac:dyDescent="0.3">
      <c r="A431" t="s">
        <v>2223</v>
      </c>
      <c r="B431" t="s">
        <v>2603</v>
      </c>
      <c r="C431" t="s">
        <v>2613</v>
      </c>
      <c r="D431" s="383">
        <v>21923</v>
      </c>
      <c r="E431" s="384">
        <v>2909107153.1199999</v>
      </c>
      <c r="F431" s="384">
        <v>0</v>
      </c>
      <c r="G431" s="384">
        <v>0</v>
      </c>
      <c r="H431" s="384">
        <v>0</v>
      </c>
      <c r="I431" s="384">
        <v>0</v>
      </c>
      <c r="J431" s="383">
        <v>21481</v>
      </c>
      <c r="K431" s="383">
        <v>21580</v>
      </c>
    </row>
    <row r="432" spans="1:11" x14ac:dyDescent="0.3">
      <c r="A432" t="s">
        <v>2223</v>
      </c>
      <c r="B432" t="s">
        <v>2603</v>
      </c>
      <c r="C432" t="s">
        <v>2614</v>
      </c>
      <c r="D432" s="383">
        <v>27359</v>
      </c>
      <c r="E432" s="384">
        <v>4024444020.25</v>
      </c>
      <c r="F432" s="384">
        <v>0</v>
      </c>
      <c r="G432" s="384">
        <v>0</v>
      </c>
      <c r="H432" s="384">
        <v>0</v>
      </c>
      <c r="I432" s="384">
        <v>0</v>
      </c>
      <c r="J432" s="383">
        <v>26855</v>
      </c>
      <c r="K432" s="383">
        <v>26965</v>
      </c>
    </row>
    <row r="433" spans="1:11" x14ac:dyDescent="0.3">
      <c r="A433" t="s">
        <v>2223</v>
      </c>
      <c r="B433" t="s">
        <v>2603</v>
      </c>
      <c r="C433" t="s">
        <v>2615</v>
      </c>
      <c r="D433" s="383">
        <v>22827</v>
      </c>
      <c r="E433" s="384">
        <v>351900979.67000002</v>
      </c>
      <c r="F433" s="384">
        <v>0</v>
      </c>
      <c r="G433" s="384">
        <v>0</v>
      </c>
      <c r="H433" s="384">
        <v>0</v>
      </c>
      <c r="I433" s="384">
        <v>0</v>
      </c>
      <c r="J433" s="383">
        <v>22340</v>
      </c>
      <c r="K433" s="383">
        <v>22529</v>
      </c>
    </row>
    <row r="434" spans="1:11" x14ac:dyDescent="0.3">
      <c r="A434" t="s">
        <v>2223</v>
      </c>
      <c r="B434" t="s">
        <v>2603</v>
      </c>
      <c r="C434" t="s">
        <v>2616</v>
      </c>
      <c r="D434" s="383">
        <v>27020</v>
      </c>
      <c r="E434" s="384">
        <v>4305300044.8199997</v>
      </c>
      <c r="F434" s="384">
        <v>0</v>
      </c>
      <c r="G434" s="384">
        <v>0</v>
      </c>
      <c r="H434" s="384">
        <v>0</v>
      </c>
      <c r="I434" s="384">
        <v>0</v>
      </c>
      <c r="J434" s="383">
        <v>26649</v>
      </c>
      <c r="K434" s="383">
        <v>26707</v>
      </c>
    </row>
    <row r="435" spans="1:11" x14ac:dyDescent="0.3">
      <c r="A435" t="s">
        <v>2223</v>
      </c>
      <c r="B435" t="s">
        <v>2603</v>
      </c>
      <c r="C435" t="s">
        <v>2617</v>
      </c>
      <c r="D435" s="383">
        <v>22861</v>
      </c>
      <c r="E435" s="384">
        <v>4053706059.5900002</v>
      </c>
      <c r="F435" s="384">
        <v>0</v>
      </c>
      <c r="G435" s="384">
        <v>0</v>
      </c>
      <c r="H435" s="384">
        <v>0</v>
      </c>
      <c r="I435" s="384">
        <v>0</v>
      </c>
      <c r="J435" s="383">
        <v>22564</v>
      </c>
      <c r="K435" s="383">
        <v>22619</v>
      </c>
    </row>
    <row r="436" spans="1:11" x14ac:dyDescent="0.3">
      <c r="A436" t="s">
        <v>2223</v>
      </c>
      <c r="B436" t="s">
        <v>2603</v>
      </c>
      <c r="C436" t="s">
        <v>2618</v>
      </c>
      <c r="D436" s="383">
        <v>15223</v>
      </c>
      <c r="E436" s="384">
        <v>2692464480.75</v>
      </c>
      <c r="F436" s="384">
        <v>0</v>
      </c>
      <c r="G436" s="384">
        <v>0</v>
      </c>
      <c r="H436" s="384">
        <v>0</v>
      </c>
      <c r="I436" s="384">
        <v>0</v>
      </c>
      <c r="J436" s="383">
        <v>14942</v>
      </c>
      <c r="K436" s="383">
        <v>14968</v>
      </c>
    </row>
    <row r="437" spans="1:11" x14ac:dyDescent="0.3">
      <c r="A437" t="s">
        <v>2223</v>
      </c>
      <c r="B437" t="s">
        <v>2603</v>
      </c>
      <c r="C437" t="s">
        <v>2619</v>
      </c>
      <c r="D437" s="383">
        <v>9458</v>
      </c>
      <c r="E437" s="384">
        <v>1655533265.0599999</v>
      </c>
      <c r="F437" s="384">
        <v>0</v>
      </c>
      <c r="G437" s="384">
        <v>0</v>
      </c>
      <c r="H437" s="384">
        <v>0</v>
      </c>
      <c r="I437" s="384">
        <v>0</v>
      </c>
      <c r="J437" s="383">
        <v>9322</v>
      </c>
      <c r="K437" s="383">
        <v>9334</v>
      </c>
    </row>
    <row r="438" spans="1:11" x14ac:dyDescent="0.3">
      <c r="A438" t="s">
        <v>2223</v>
      </c>
      <c r="B438" t="s">
        <v>2603</v>
      </c>
      <c r="C438" t="s">
        <v>2620</v>
      </c>
      <c r="D438" s="383">
        <v>6103</v>
      </c>
      <c r="E438" s="384">
        <v>1098503460.8099999</v>
      </c>
      <c r="F438" s="384">
        <v>0</v>
      </c>
      <c r="G438" s="384">
        <v>0</v>
      </c>
      <c r="H438" s="384">
        <v>0</v>
      </c>
      <c r="I438" s="384">
        <v>0</v>
      </c>
      <c r="J438" s="383">
        <v>6019</v>
      </c>
      <c r="K438" s="383">
        <v>6026</v>
      </c>
    </row>
    <row r="439" spans="1:11" x14ac:dyDescent="0.3">
      <c r="A439" t="s">
        <v>2223</v>
      </c>
      <c r="B439" t="s">
        <v>2603</v>
      </c>
      <c r="C439" t="s">
        <v>2621</v>
      </c>
      <c r="D439" s="383">
        <v>932</v>
      </c>
      <c r="E439" s="384">
        <v>158702393.81999999</v>
      </c>
      <c r="F439" s="384">
        <v>0</v>
      </c>
      <c r="G439" s="384">
        <v>0</v>
      </c>
      <c r="H439" s="384">
        <v>0</v>
      </c>
      <c r="I439" s="384">
        <v>0</v>
      </c>
      <c r="J439" s="383">
        <v>929</v>
      </c>
      <c r="K439" s="383">
        <v>929</v>
      </c>
    </row>
    <row r="440" spans="1:11" x14ac:dyDescent="0.3">
      <c r="A440" t="s">
        <v>2223</v>
      </c>
      <c r="B440" t="s">
        <v>2603</v>
      </c>
      <c r="C440" t="s">
        <v>2622</v>
      </c>
      <c r="D440" s="383">
        <v>176</v>
      </c>
      <c r="E440" s="384">
        <v>29737384.989999998</v>
      </c>
      <c r="F440" s="384">
        <v>0</v>
      </c>
      <c r="G440" s="384">
        <v>0</v>
      </c>
      <c r="H440" s="384">
        <v>0</v>
      </c>
      <c r="I440" s="384">
        <v>0</v>
      </c>
      <c r="J440" s="383">
        <v>176</v>
      </c>
      <c r="K440" s="383">
        <v>176</v>
      </c>
    </row>
    <row r="441" spans="1:11" x14ac:dyDescent="0.3">
      <c r="A441" t="s">
        <v>2223</v>
      </c>
      <c r="B441" t="s">
        <v>2603</v>
      </c>
      <c r="C441" t="s">
        <v>2623</v>
      </c>
      <c r="D441" s="383">
        <v>43</v>
      </c>
      <c r="E441" s="384">
        <v>7242826.5800000001</v>
      </c>
      <c r="F441" s="384">
        <v>0</v>
      </c>
      <c r="G441" s="384">
        <v>0</v>
      </c>
      <c r="H441" s="384">
        <v>0</v>
      </c>
      <c r="I441" s="384">
        <v>0</v>
      </c>
      <c r="J441" s="383">
        <v>43</v>
      </c>
      <c r="K441" s="383">
        <v>43</v>
      </c>
    </row>
    <row r="442" spans="1:11" x14ac:dyDescent="0.3">
      <c r="A442" t="s">
        <v>2223</v>
      </c>
      <c r="B442" t="s">
        <v>2603</v>
      </c>
      <c r="C442" t="s">
        <v>2624</v>
      </c>
      <c r="D442" s="383">
        <v>17</v>
      </c>
      <c r="E442" s="384">
        <v>3493952.64</v>
      </c>
      <c r="F442" s="384">
        <v>0</v>
      </c>
      <c r="G442" s="384">
        <v>0</v>
      </c>
      <c r="H442" s="384">
        <v>0</v>
      </c>
      <c r="I442" s="384">
        <v>0</v>
      </c>
      <c r="J442" s="383">
        <v>17</v>
      </c>
      <c r="K442" s="383">
        <v>17</v>
      </c>
    </row>
    <row r="443" spans="1:11" x14ac:dyDescent="0.3">
      <c r="A443" t="s">
        <v>2223</v>
      </c>
      <c r="B443" t="s">
        <v>2603</v>
      </c>
      <c r="C443" t="s">
        <v>2625</v>
      </c>
      <c r="D443" s="383">
        <v>15</v>
      </c>
      <c r="E443" s="384">
        <v>2009341.06</v>
      </c>
      <c r="F443" s="384">
        <v>0</v>
      </c>
      <c r="G443" s="384">
        <v>0</v>
      </c>
      <c r="H443" s="384">
        <v>0</v>
      </c>
      <c r="I443" s="384">
        <v>0</v>
      </c>
      <c r="J443" s="383">
        <v>15</v>
      </c>
      <c r="K443" s="383">
        <v>15</v>
      </c>
    </row>
    <row r="444" spans="1:11" x14ac:dyDescent="0.3">
      <c r="A444" t="s">
        <v>2223</v>
      </c>
      <c r="B444" t="s">
        <v>2603</v>
      </c>
      <c r="C444" t="s">
        <v>2626</v>
      </c>
      <c r="D444" s="383">
        <v>23877</v>
      </c>
      <c r="E444" s="384">
        <v>572998710.64999998</v>
      </c>
      <c r="F444" s="384">
        <v>0</v>
      </c>
      <c r="G444" s="384">
        <v>0</v>
      </c>
      <c r="H444" s="384">
        <v>0</v>
      </c>
      <c r="I444" s="384">
        <v>0</v>
      </c>
      <c r="J444" s="383">
        <v>23388</v>
      </c>
      <c r="K444" s="383">
        <v>23621</v>
      </c>
    </row>
    <row r="445" spans="1:11" x14ac:dyDescent="0.3">
      <c r="A445" t="s">
        <v>2223</v>
      </c>
      <c r="B445" t="s">
        <v>2603</v>
      </c>
      <c r="C445" t="s">
        <v>2627</v>
      </c>
      <c r="D445" s="383">
        <v>1</v>
      </c>
      <c r="E445" s="384">
        <v>128738.85</v>
      </c>
      <c r="F445" s="384">
        <v>0</v>
      </c>
      <c r="G445" s="384">
        <v>0</v>
      </c>
      <c r="H445" s="384">
        <v>0</v>
      </c>
      <c r="I445" s="384">
        <v>0</v>
      </c>
      <c r="J445" s="383">
        <v>1</v>
      </c>
      <c r="K445" s="383">
        <v>1</v>
      </c>
    </row>
    <row r="446" spans="1:11" x14ac:dyDescent="0.3">
      <c r="A446" t="s">
        <v>2223</v>
      </c>
      <c r="B446" t="s">
        <v>2603</v>
      </c>
      <c r="C446" t="s">
        <v>2628</v>
      </c>
      <c r="D446" s="383">
        <v>25547</v>
      </c>
      <c r="E446" s="384">
        <v>830846549.80999994</v>
      </c>
      <c r="F446" s="384">
        <v>0</v>
      </c>
      <c r="G446" s="384">
        <v>0</v>
      </c>
      <c r="H446" s="384">
        <v>0</v>
      </c>
      <c r="I446" s="384">
        <v>0</v>
      </c>
      <c r="J446" s="383">
        <v>24970</v>
      </c>
      <c r="K446" s="383">
        <v>25246</v>
      </c>
    </row>
    <row r="447" spans="1:11" x14ac:dyDescent="0.3">
      <c r="A447" t="s">
        <v>2223</v>
      </c>
      <c r="B447" t="s">
        <v>2603</v>
      </c>
      <c r="C447" t="s">
        <v>2629</v>
      </c>
      <c r="D447" s="383">
        <v>26299</v>
      </c>
      <c r="E447" s="384">
        <v>1025505849.47</v>
      </c>
      <c r="F447" s="384">
        <v>0</v>
      </c>
      <c r="G447" s="384">
        <v>0</v>
      </c>
      <c r="H447" s="384">
        <v>0</v>
      </c>
      <c r="I447" s="384">
        <v>0</v>
      </c>
      <c r="J447" s="383">
        <v>25677</v>
      </c>
      <c r="K447" s="383">
        <v>25951</v>
      </c>
    </row>
    <row r="448" spans="1:11" x14ac:dyDescent="0.3">
      <c r="A448" t="s">
        <v>2223</v>
      </c>
      <c r="B448" t="s">
        <v>2603</v>
      </c>
      <c r="C448" t="s">
        <v>2630</v>
      </c>
      <c r="D448" s="383">
        <v>30454</v>
      </c>
      <c r="E448" s="384">
        <v>1420774624.01</v>
      </c>
      <c r="F448" s="384">
        <v>0</v>
      </c>
      <c r="G448" s="384">
        <v>0</v>
      </c>
      <c r="H448" s="384">
        <v>0</v>
      </c>
      <c r="I448" s="384">
        <v>0</v>
      </c>
      <c r="J448" s="383">
        <v>29664</v>
      </c>
      <c r="K448" s="383">
        <v>30029</v>
      </c>
    </row>
    <row r="449" spans="1:11" x14ac:dyDescent="0.3">
      <c r="A449" t="s">
        <v>2223</v>
      </c>
      <c r="B449" t="s">
        <v>2603</v>
      </c>
      <c r="C449" t="s">
        <v>2631</v>
      </c>
      <c r="D449" s="383">
        <v>27454</v>
      </c>
      <c r="E449" s="384">
        <v>1456177389.22</v>
      </c>
      <c r="F449" s="384">
        <v>0</v>
      </c>
      <c r="G449" s="384">
        <v>0</v>
      </c>
      <c r="H449" s="384">
        <v>0</v>
      </c>
      <c r="I449" s="384">
        <v>0</v>
      </c>
      <c r="J449" s="383">
        <v>26574</v>
      </c>
      <c r="K449" s="383">
        <v>26867</v>
      </c>
    </row>
    <row r="450" spans="1:11" x14ac:dyDescent="0.3">
      <c r="A450" t="s">
        <v>2223</v>
      </c>
      <c r="B450" t="s">
        <v>2603</v>
      </c>
      <c r="C450" t="s">
        <v>2632</v>
      </c>
      <c r="D450" s="383">
        <v>29157</v>
      </c>
      <c r="E450" s="384">
        <v>1704825066.3699999</v>
      </c>
      <c r="F450" s="384">
        <v>0</v>
      </c>
      <c r="G450" s="384">
        <v>0</v>
      </c>
      <c r="H450" s="384">
        <v>0</v>
      </c>
      <c r="I450" s="384">
        <v>0</v>
      </c>
      <c r="J450" s="383">
        <v>28438</v>
      </c>
      <c r="K450" s="383">
        <v>28689</v>
      </c>
    </row>
    <row r="451" spans="1:11" x14ac:dyDescent="0.3">
      <c r="A451" t="s">
        <v>2223</v>
      </c>
      <c r="B451" t="s">
        <v>2603</v>
      </c>
      <c r="C451" t="s">
        <v>2633</v>
      </c>
      <c r="D451" s="383">
        <v>30526</v>
      </c>
      <c r="E451" s="384">
        <v>2035738287.3499999</v>
      </c>
      <c r="F451" s="384">
        <v>0</v>
      </c>
      <c r="G451" s="384">
        <v>0</v>
      </c>
      <c r="H451" s="384">
        <v>0</v>
      </c>
      <c r="I451" s="384">
        <v>0</v>
      </c>
      <c r="J451" s="383">
        <v>29729</v>
      </c>
      <c r="K451" s="383">
        <v>30062</v>
      </c>
    </row>
    <row r="452" spans="1:11" x14ac:dyDescent="0.3">
      <c r="A452" t="s">
        <v>2223</v>
      </c>
      <c r="B452" t="s">
        <v>2603</v>
      </c>
      <c r="C452" t="s">
        <v>2634</v>
      </c>
      <c r="D452" s="383">
        <v>294</v>
      </c>
      <c r="E452" s="384">
        <v>2344016.09</v>
      </c>
      <c r="F452" s="384">
        <v>0</v>
      </c>
      <c r="G452" s="384">
        <v>0</v>
      </c>
      <c r="H452" s="384">
        <v>0</v>
      </c>
      <c r="I452" s="384">
        <v>0</v>
      </c>
      <c r="J452" s="383">
        <v>291</v>
      </c>
      <c r="K452" s="383">
        <v>291</v>
      </c>
    </row>
    <row r="453" spans="1:11" x14ac:dyDescent="0.3">
      <c r="A453" t="s">
        <v>2223</v>
      </c>
      <c r="B453" t="s">
        <v>2603</v>
      </c>
      <c r="C453" t="s">
        <v>2635</v>
      </c>
      <c r="D453" s="383">
        <v>86</v>
      </c>
      <c r="E453" s="384">
        <v>6697462.0300000003</v>
      </c>
      <c r="F453" s="384">
        <v>0</v>
      </c>
      <c r="G453" s="384">
        <v>0</v>
      </c>
      <c r="H453" s="384">
        <v>0</v>
      </c>
      <c r="I453" s="384">
        <v>0</v>
      </c>
      <c r="J453" s="383">
        <v>84</v>
      </c>
      <c r="K453" s="383">
        <v>86</v>
      </c>
    </row>
    <row r="454" spans="1:11" x14ac:dyDescent="0.3">
      <c r="A454" t="s">
        <v>2223</v>
      </c>
      <c r="B454" t="s">
        <v>2603</v>
      </c>
      <c r="C454" t="s">
        <v>2636</v>
      </c>
      <c r="D454" s="383">
        <v>114</v>
      </c>
      <c r="E454" s="384">
        <v>10338522.189999999</v>
      </c>
      <c r="F454" s="384">
        <v>0</v>
      </c>
      <c r="G454" s="384">
        <v>0</v>
      </c>
      <c r="H454" s="384">
        <v>0</v>
      </c>
      <c r="I454" s="384">
        <v>0</v>
      </c>
      <c r="J454" s="383">
        <v>111</v>
      </c>
      <c r="K454" s="383">
        <v>114</v>
      </c>
    </row>
    <row r="455" spans="1:11" x14ac:dyDescent="0.3">
      <c r="A455" t="s">
        <v>2223</v>
      </c>
      <c r="B455" t="s">
        <v>2603</v>
      </c>
      <c r="C455" t="s">
        <v>2637</v>
      </c>
      <c r="D455" s="383">
        <v>41</v>
      </c>
      <c r="E455" s="384">
        <v>3060492.22</v>
      </c>
      <c r="F455" s="384">
        <v>0</v>
      </c>
      <c r="G455" s="384">
        <v>0</v>
      </c>
      <c r="H455" s="384">
        <v>0</v>
      </c>
      <c r="I455" s="384">
        <v>0</v>
      </c>
      <c r="J455" s="383">
        <v>40</v>
      </c>
      <c r="K455" s="383">
        <v>40</v>
      </c>
    </row>
    <row r="456" spans="1:11" x14ac:dyDescent="0.3">
      <c r="A456" t="s">
        <v>2223</v>
      </c>
      <c r="B456" t="s">
        <v>2603</v>
      </c>
      <c r="C456" t="s">
        <v>2638</v>
      </c>
      <c r="D456" s="383">
        <v>34</v>
      </c>
      <c r="E456" s="384">
        <v>3676452.6</v>
      </c>
      <c r="F456" s="384">
        <v>0</v>
      </c>
      <c r="G456" s="384">
        <v>0</v>
      </c>
      <c r="H456" s="384">
        <v>0</v>
      </c>
      <c r="I456" s="384">
        <v>0</v>
      </c>
      <c r="J456" s="383">
        <v>34</v>
      </c>
      <c r="K456" s="383">
        <v>34</v>
      </c>
    </row>
    <row r="457" spans="1:11" x14ac:dyDescent="0.3">
      <c r="A457" t="s">
        <v>2223</v>
      </c>
      <c r="B457" t="s">
        <v>2603</v>
      </c>
      <c r="C457" t="s">
        <v>2639</v>
      </c>
      <c r="D457" s="383">
        <v>46</v>
      </c>
      <c r="E457" s="384">
        <v>4679190.92</v>
      </c>
      <c r="F457" s="384">
        <v>0</v>
      </c>
      <c r="G457" s="384">
        <v>0</v>
      </c>
      <c r="H457" s="384">
        <v>0</v>
      </c>
      <c r="I457" s="384">
        <v>0</v>
      </c>
      <c r="J457" s="383">
        <v>45</v>
      </c>
      <c r="K457" s="383">
        <v>46</v>
      </c>
    </row>
    <row r="458" spans="1:11" x14ac:dyDescent="0.3">
      <c r="A458" t="s">
        <v>2223</v>
      </c>
      <c r="B458" t="s">
        <v>2603</v>
      </c>
      <c r="C458" t="s">
        <v>2640</v>
      </c>
      <c r="D458" s="383">
        <v>35</v>
      </c>
      <c r="E458" s="384">
        <v>4110706.04</v>
      </c>
      <c r="F458" s="384">
        <v>0</v>
      </c>
      <c r="G458" s="384">
        <v>0</v>
      </c>
      <c r="H458" s="384">
        <v>0</v>
      </c>
      <c r="I458" s="384">
        <v>0</v>
      </c>
      <c r="J458" s="383">
        <v>35</v>
      </c>
      <c r="K458" s="383">
        <v>35</v>
      </c>
    </row>
    <row r="459" spans="1:11" x14ac:dyDescent="0.3">
      <c r="A459" t="s">
        <v>2223</v>
      </c>
      <c r="B459" t="s">
        <v>2603</v>
      </c>
      <c r="C459" t="s">
        <v>2641</v>
      </c>
      <c r="D459" s="383">
        <v>25</v>
      </c>
      <c r="E459" s="384">
        <v>4366654.95</v>
      </c>
      <c r="F459" s="384">
        <v>0</v>
      </c>
      <c r="G459" s="384">
        <v>0</v>
      </c>
      <c r="H459" s="384">
        <v>0</v>
      </c>
      <c r="I459" s="384">
        <v>0</v>
      </c>
      <c r="J459" s="383">
        <v>25</v>
      </c>
      <c r="K459" s="383">
        <v>25</v>
      </c>
    </row>
    <row r="460" spans="1:11" x14ac:dyDescent="0.3">
      <c r="A460" t="s">
        <v>2223</v>
      </c>
      <c r="B460" t="s">
        <v>2603</v>
      </c>
      <c r="C460" t="s">
        <v>2642</v>
      </c>
      <c r="D460" s="383">
        <v>7</v>
      </c>
      <c r="E460" s="384">
        <v>1394042.14</v>
      </c>
      <c r="F460" s="384">
        <v>0</v>
      </c>
      <c r="G460" s="384">
        <v>0</v>
      </c>
      <c r="H460" s="384">
        <v>0</v>
      </c>
      <c r="I460" s="384">
        <v>0</v>
      </c>
      <c r="J460" s="383">
        <v>7</v>
      </c>
      <c r="K460" s="383">
        <v>7</v>
      </c>
    </row>
    <row r="461" spans="1:11" x14ac:dyDescent="0.3">
      <c r="A461" t="s">
        <v>2223</v>
      </c>
      <c r="B461" t="s">
        <v>2603</v>
      </c>
      <c r="C461" t="s">
        <v>2643</v>
      </c>
      <c r="D461" s="383">
        <v>15</v>
      </c>
      <c r="E461" s="384">
        <v>2983500.42</v>
      </c>
      <c r="F461" s="384">
        <v>0</v>
      </c>
      <c r="G461" s="384">
        <v>0</v>
      </c>
      <c r="H461" s="384">
        <v>0</v>
      </c>
      <c r="I461" s="384">
        <v>0</v>
      </c>
      <c r="J461" s="383">
        <v>14</v>
      </c>
      <c r="K461" s="383">
        <v>14</v>
      </c>
    </row>
    <row r="462" spans="1:11" x14ac:dyDescent="0.3">
      <c r="A462" t="s">
        <v>2223</v>
      </c>
      <c r="B462" t="s">
        <v>2603</v>
      </c>
      <c r="C462" t="s">
        <v>2644</v>
      </c>
      <c r="D462" s="383">
        <v>11</v>
      </c>
      <c r="E462" s="384">
        <v>1861732.92</v>
      </c>
      <c r="F462" s="384">
        <v>0</v>
      </c>
      <c r="G462" s="384">
        <v>0</v>
      </c>
      <c r="H462" s="384">
        <v>0</v>
      </c>
      <c r="I462" s="384">
        <v>0</v>
      </c>
      <c r="J462" s="383">
        <v>11</v>
      </c>
      <c r="K462" s="383">
        <v>11</v>
      </c>
    </row>
    <row r="463" spans="1:11" x14ac:dyDescent="0.3">
      <c r="A463" t="s">
        <v>2223</v>
      </c>
      <c r="B463" t="s">
        <v>2603</v>
      </c>
      <c r="C463" t="s">
        <v>2645</v>
      </c>
      <c r="D463" s="383">
        <v>187</v>
      </c>
      <c r="E463" s="384">
        <v>3338489.45</v>
      </c>
      <c r="F463" s="384">
        <v>0</v>
      </c>
      <c r="G463" s="384">
        <v>0</v>
      </c>
      <c r="H463" s="384">
        <v>0</v>
      </c>
      <c r="I463" s="384">
        <v>0</v>
      </c>
      <c r="J463" s="383">
        <v>179</v>
      </c>
      <c r="K463" s="383">
        <v>184</v>
      </c>
    </row>
    <row r="464" spans="1:11" x14ac:dyDescent="0.3">
      <c r="A464" t="s">
        <v>2223</v>
      </c>
      <c r="B464" t="s">
        <v>2603</v>
      </c>
      <c r="C464" t="s">
        <v>2646</v>
      </c>
      <c r="D464" s="383">
        <v>11</v>
      </c>
      <c r="E464" s="384">
        <v>2174400.2000000002</v>
      </c>
      <c r="F464" s="384">
        <v>0</v>
      </c>
      <c r="G464" s="384">
        <v>0</v>
      </c>
      <c r="H464" s="384">
        <v>0</v>
      </c>
      <c r="I464" s="384">
        <v>0</v>
      </c>
      <c r="J464" s="383">
        <v>11</v>
      </c>
      <c r="K464" s="383">
        <v>11</v>
      </c>
    </row>
    <row r="465" spans="1:11" x14ac:dyDescent="0.3">
      <c r="A465" t="s">
        <v>2223</v>
      </c>
      <c r="B465" t="s">
        <v>2603</v>
      </c>
      <c r="C465" t="s">
        <v>2647</v>
      </c>
      <c r="D465" s="383">
        <v>4</v>
      </c>
      <c r="E465" s="384">
        <v>733920.29</v>
      </c>
      <c r="F465" s="384">
        <v>0</v>
      </c>
      <c r="G465" s="384">
        <v>0</v>
      </c>
      <c r="H465" s="384">
        <v>0</v>
      </c>
      <c r="I465" s="384">
        <v>0</v>
      </c>
      <c r="J465" s="383">
        <v>4</v>
      </c>
      <c r="K465" s="383">
        <v>4</v>
      </c>
    </row>
    <row r="466" spans="1:11" x14ac:dyDescent="0.3">
      <c r="A466" t="s">
        <v>2223</v>
      </c>
      <c r="B466" t="s">
        <v>2603</v>
      </c>
      <c r="C466" t="s">
        <v>2648</v>
      </c>
      <c r="D466" s="383">
        <v>2</v>
      </c>
      <c r="E466" s="384">
        <v>335543.37</v>
      </c>
      <c r="F466" s="384">
        <v>0</v>
      </c>
      <c r="G466" s="384">
        <v>0</v>
      </c>
      <c r="H466" s="384">
        <v>0</v>
      </c>
      <c r="I466" s="384">
        <v>0</v>
      </c>
      <c r="J466" s="383">
        <v>2</v>
      </c>
      <c r="K466" s="383">
        <v>2</v>
      </c>
    </row>
    <row r="467" spans="1:11" x14ac:dyDescent="0.3">
      <c r="A467" t="s">
        <v>2223</v>
      </c>
      <c r="B467" t="s">
        <v>2603</v>
      </c>
      <c r="C467" t="s">
        <v>2649</v>
      </c>
      <c r="D467" s="383">
        <v>6</v>
      </c>
      <c r="E467" s="384">
        <v>901111.25</v>
      </c>
      <c r="F467" s="384">
        <v>0</v>
      </c>
      <c r="G467" s="384">
        <v>0</v>
      </c>
      <c r="H467" s="384">
        <v>0</v>
      </c>
      <c r="I467" s="384">
        <v>0</v>
      </c>
      <c r="J467" s="383">
        <v>6</v>
      </c>
      <c r="K467" s="383">
        <v>6</v>
      </c>
    </row>
    <row r="468" spans="1:11" x14ac:dyDescent="0.3">
      <c r="A468" t="s">
        <v>2223</v>
      </c>
      <c r="B468" t="s">
        <v>2603</v>
      </c>
      <c r="C468" t="s">
        <v>2650</v>
      </c>
      <c r="D468" s="383">
        <v>4</v>
      </c>
      <c r="E468" s="384">
        <v>1067829.6599999999</v>
      </c>
      <c r="F468" s="384">
        <v>0</v>
      </c>
      <c r="G468" s="384">
        <v>0</v>
      </c>
      <c r="H468" s="384">
        <v>0</v>
      </c>
      <c r="I468" s="384">
        <v>0</v>
      </c>
      <c r="J468" s="383">
        <v>4</v>
      </c>
      <c r="K468" s="383">
        <v>4</v>
      </c>
    </row>
    <row r="469" spans="1:11" x14ac:dyDescent="0.3">
      <c r="A469" t="s">
        <v>2223</v>
      </c>
      <c r="B469" t="s">
        <v>2603</v>
      </c>
      <c r="C469" t="s">
        <v>2651</v>
      </c>
      <c r="D469" s="383">
        <v>6</v>
      </c>
      <c r="E469" s="384">
        <v>831627.37</v>
      </c>
      <c r="F469" s="384">
        <v>0</v>
      </c>
      <c r="G469" s="384">
        <v>0</v>
      </c>
      <c r="H469" s="384">
        <v>0</v>
      </c>
      <c r="I469" s="384">
        <v>0</v>
      </c>
      <c r="J469" s="383">
        <v>6</v>
      </c>
      <c r="K469" s="383">
        <v>6</v>
      </c>
    </row>
    <row r="470" spans="1:11" x14ac:dyDescent="0.3">
      <c r="A470" t="s">
        <v>2223</v>
      </c>
      <c r="B470" t="s">
        <v>2603</v>
      </c>
      <c r="C470" t="s">
        <v>2652</v>
      </c>
      <c r="D470" s="383">
        <v>153</v>
      </c>
      <c r="E470" s="384">
        <v>3669031.22</v>
      </c>
      <c r="F470" s="384">
        <v>0</v>
      </c>
      <c r="G470" s="384">
        <v>0</v>
      </c>
      <c r="H470" s="384">
        <v>0</v>
      </c>
      <c r="I470" s="384">
        <v>0</v>
      </c>
      <c r="J470" s="383">
        <v>152</v>
      </c>
      <c r="K470" s="383">
        <v>152</v>
      </c>
    </row>
    <row r="471" spans="1:11" x14ac:dyDescent="0.3">
      <c r="A471" t="s">
        <v>2223</v>
      </c>
      <c r="B471" t="s">
        <v>2603</v>
      </c>
      <c r="C471" t="s">
        <v>2653</v>
      </c>
      <c r="D471" s="383">
        <v>162</v>
      </c>
      <c r="E471" s="384">
        <v>5386441.4299999997</v>
      </c>
      <c r="F471" s="384">
        <v>0</v>
      </c>
      <c r="G471" s="384">
        <v>0</v>
      </c>
      <c r="H471" s="384">
        <v>0</v>
      </c>
      <c r="I471" s="384">
        <v>0</v>
      </c>
      <c r="J471" s="383">
        <v>158</v>
      </c>
      <c r="K471" s="383">
        <v>161</v>
      </c>
    </row>
    <row r="472" spans="1:11" x14ac:dyDescent="0.3">
      <c r="A472" t="s">
        <v>2223</v>
      </c>
      <c r="B472" t="s">
        <v>2603</v>
      </c>
      <c r="C472" t="s">
        <v>2654</v>
      </c>
      <c r="D472" s="383">
        <v>143</v>
      </c>
      <c r="E472" s="384">
        <v>6118550.8600000003</v>
      </c>
      <c r="F472" s="384">
        <v>0</v>
      </c>
      <c r="G472" s="384">
        <v>0</v>
      </c>
      <c r="H472" s="384">
        <v>0</v>
      </c>
      <c r="I472" s="384">
        <v>0</v>
      </c>
      <c r="J472" s="383">
        <v>142</v>
      </c>
      <c r="K472" s="383">
        <v>143</v>
      </c>
    </row>
    <row r="473" spans="1:11" x14ac:dyDescent="0.3">
      <c r="A473" t="s">
        <v>2223</v>
      </c>
      <c r="B473" t="s">
        <v>2603</v>
      </c>
      <c r="C473" t="s">
        <v>2655</v>
      </c>
      <c r="D473" s="383">
        <v>98</v>
      </c>
      <c r="E473" s="384">
        <v>4485514.93</v>
      </c>
      <c r="F473" s="384">
        <v>0</v>
      </c>
      <c r="G473" s="384">
        <v>0</v>
      </c>
      <c r="H473" s="384">
        <v>0</v>
      </c>
      <c r="I473" s="384">
        <v>0</v>
      </c>
      <c r="J473" s="383">
        <v>96</v>
      </c>
      <c r="K473" s="383">
        <v>98</v>
      </c>
    </row>
    <row r="474" spans="1:11" x14ac:dyDescent="0.3">
      <c r="A474" t="s">
        <v>2223</v>
      </c>
      <c r="B474" t="s">
        <v>2603</v>
      </c>
      <c r="C474" t="s">
        <v>2656</v>
      </c>
      <c r="D474" s="383">
        <v>124</v>
      </c>
      <c r="E474" s="384">
        <v>7975687.5300000003</v>
      </c>
      <c r="F474" s="384">
        <v>0</v>
      </c>
      <c r="G474" s="384">
        <v>0</v>
      </c>
      <c r="H474" s="384">
        <v>0</v>
      </c>
      <c r="I474" s="384">
        <v>0</v>
      </c>
      <c r="J474" s="383">
        <v>122</v>
      </c>
      <c r="K474" s="383">
        <v>123</v>
      </c>
    </row>
    <row r="475" spans="1:11" x14ac:dyDescent="0.3">
      <c r="A475" t="s">
        <v>2223</v>
      </c>
      <c r="B475" t="s">
        <v>2603</v>
      </c>
      <c r="C475" t="s">
        <v>2657</v>
      </c>
      <c r="D475" s="383">
        <v>68</v>
      </c>
      <c r="E475" s="384">
        <v>4659942.26</v>
      </c>
      <c r="F475" s="384">
        <v>0</v>
      </c>
      <c r="G475" s="384">
        <v>0</v>
      </c>
      <c r="H475" s="384">
        <v>0</v>
      </c>
      <c r="I475" s="384">
        <v>0</v>
      </c>
      <c r="J475" s="383">
        <v>68</v>
      </c>
      <c r="K475" s="383">
        <v>68</v>
      </c>
    </row>
    <row r="476" spans="1:11" x14ac:dyDescent="0.3">
      <c r="A476" t="s">
        <v>2223</v>
      </c>
      <c r="B476" t="s">
        <v>2603</v>
      </c>
      <c r="C476" t="s">
        <v>2658</v>
      </c>
      <c r="D476" s="383">
        <v>113</v>
      </c>
      <c r="E476" s="384">
        <v>8723364.3599999994</v>
      </c>
      <c r="F476" s="384">
        <v>0</v>
      </c>
      <c r="G476" s="384">
        <v>0</v>
      </c>
      <c r="H476" s="384">
        <v>0</v>
      </c>
      <c r="I476" s="384">
        <v>0</v>
      </c>
      <c r="J476" s="383">
        <v>112</v>
      </c>
      <c r="K476" s="383">
        <v>113</v>
      </c>
    </row>
    <row r="477" spans="1:11" x14ac:dyDescent="0.3">
      <c r="A477" t="s">
        <v>2223</v>
      </c>
      <c r="B477" t="s">
        <v>2603</v>
      </c>
      <c r="C477" t="s">
        <v>2659</v>
      </c>
      <c r="D477" s="383">
        <v>2777</v>
      </c>
      <c r="E477" s="384">
        <v>10581996.939999999</v>
      </c>
      <c r="F477" s="384">
        <v>0</v>
      </c>
      <c r="G477" s="384">
        <v>0</v>
      </c>
      <c r="H477" s="384">
        <v>0</v>
      </c>
      <c r="I477" s="384">
        <v>0</v>
      </c>
      <c r="J477" s="383">
        <v>2696</v>
      </c>
      <c r="K477" s="383">
        <v>2698</v>
      </c>
    </row>
    <row r="478" spans="1:11" x14ac:dyDescent="0.3">
      <c r="A478" t="s">
        <v>2223</v>
      </c>
      <c r="B478" t="s">
        <v>2603</v>
      </c>
      <c r="C478" t="s">
        <v>2660</v>
      </c>
      <c r="D478" s="383">
        <v>1319</v>
      </c>
      <c r="E478" s="384">
        <v>54741912.579999998</v>
      </c>
      <c r="F478" s="384">
        <v>0</v>
      </c>
      <c r="G478" s="384">
        <v>0</v>
      </c>
      <c r="H478" s="384">
        <v>0</v>
      </c>
      <c r="I478" s="384">
        <v>0</v>
      </c>
      <c r="J478" s="383">
        <v>1257</v>
      </c>
      <c r="K478" s="383">
        <v>1261</v>
      </c>
    </row>
    <row r="479" spans="1:11" x14ac:dyDescent="0.3">
      <c r="A479" t="s">
        <v>2223</v>
      </c>
      <c r="B479" t="s">
        <v>2603</v>
      </c>
      <c r="C479" t="s">
        <v>2661</v>
      </c>
      <c r="D479" s="383">
        <v>1247</v>
      </c>
      <c r="E479" s="384">
        <v>51251273.229999997</v>
      </c>
      <c r="F479" s="384">
        <v>0</v>
      </c>
      <c r="G479" s="384">
        <v>0</v>
      </c>
      <c r="H479" s="384">
        <v>0</v>
      </c>
      <c r="I479" s="384">
        <v>0</v>
      </c>
      <c r="J479" s="383">
        <v>1175</v>
      </c>
      <c r="K479" s="383">
        <v>1180</v>
      </c>
    </row>
    <row r="480" spans="1:11" x14ac:dyDescent="0.3">
      <c r="A480" t="s">
        <v>2223</v>
      </c>
      <c r="B480" t="s">
        <v>2603</v>
      </c>
      <c r="C480" t="s">
        <v>2662</v>
      </c>
      <c r="D480" s="383">
        <v>1256</v>
      </c>
      <c r="E480" s="384">
        <v>57086533.770000003</v>
      </c>
      <c r="F480" s="384">
        <v>0</v>
      </c>
      <c r="G480" s="384">
        <v>0</v>
      </c>
      <c r="H480" s="384">
        <v>0</v>
      </c>
      <c r="I480" s="384">
        <v>0</v>
      </c>
      <c r="J480" s="383">
        <v>1206</v>
      </c>
      <c r="K480" s="383">
        <v>1208</v>
      </c>
    </row>
    <row r="481" spans="1:11" x14ac:dyDescent="0.3">
      <c r="A481" t="s">
        <v>2223</v>
      </c>
      <c r="B481" t="s">
        <v>2603</v>
      </c>
      <c r="C481" t="s">
        <v>2663</v>
      </c>
      <c r="D481" s="383">
        <v>1054</v>
      </c>
      <c r="E481" s="384">
        <v>53188994.189999998</v>
      </c>
      <c r="F481" s="384">
        <v>0</v>
      </c>
      <c r="G481" s="384">
        <v>0</v>
      </c>
      <c r="H481" s="384">
        <v>0</v>
      </c>
      <c r="I481" s="384">
        <v>0</v>
      </c>
      <c r="J481" s="383">
        <v>996</v>
      </c>
      <c r="K481" s="383">
        <v>1000</v>
      </c>
    </row>
    <row r="482" spans="1:11" x14ac:dyDescent="0.3">
      <c r="A482" t="s">
        <v>2223</v>
      </c>
      <c r="B482" t="s">
        <v>2603</v>
      </c>
      <c r="C482" t="s">
        <v>2664</v>
      </c>
      <c r="D482" s="383">
        <v>703</v>
      </c>
      <c r="E482" s="384">
        <v>38591600.520000003</v>
      </c>
      <c r="F482" s="384">
        <v>0</v>
      </c>
      <c r="G482" s="384">
        <v>0</v>
      </c>
      <c r="H482" s="384">
        <v>0</v>
      </c>
      <c r="I482" s="384">
        <v>0</v>
      </c>
      <c r="J482" s="383">
        <v>683</v>
      </c>
      <c r="K482" s="383">
        <v>683</v>
      </c>
    </row>
    <row r="483" spans="1:11" x14ac:dyDescent="0.3">
      <c r="A483" t="s">
        <v>2223</v>
      </c>
      <c r="B483" t="s">
        <v>2603</v>
      </c>
      <c r="C483" t="s">
        <v>2665</v>
      </c>
      <c r="D483" s="383">
        <v>556</v>
      </c>
      <c r="E483" s="384">
        <v>34445362.630000003</v>
      </c>
      <c r="F483" s="384">
        <v>0</v>
      </c>
      <c r="G483" s="384">
        <v>0</v>
      </c>
      <c r="H483" s="384">
        <v>0</v>
      </c>
      <c r="I483" s="384">
        <v>0</v>
      </c>
      <c r="J483" s="383">
        <v>547</v>
      </c>
      <c r="K483" s="383">
        <v>549</v>
      </c>
    </row>
    <row r="484" spans="1:11" x14ac:dyDescent="0.3">
      <c r="A484" t="s">
        <v>2223</v>
      </c>
      <c r="B484" t="s">
        <v>2603</v>
      </c>
      <c r="C484" t="s">
        <v>2666</v>
      </c>
      <c r="D484" s="383">
        <v>569</v>
      </c>
      <c r="E484" s="384">
        <v>42468399.899999999</v>
      </c>
      <c r="F484" s="384">
        <v>0</v>
      </c>
      <c r="G484" s="384">
        <v>0</v>
      </c>
      <c r="H484" s="384">
        <v>0</v>
      </c>
      <c r="I484" s="384">
        <v>0</v>
      </c>
      <c r="J484" s="383">
        <v>565</v>
      </c>
      <c r="K484" s="383">
        <v>565</v>
      </c>
    </row>
    <row r="485" spans="1:11" x14ac:dyDescent="0.3">
      <c r="A485" t="s">
        <v>2223</v>
      </c>
      <c r="B485" t="s">
        <v>2603</v>
      </c>
      <c r="C485" t="s">
        <v>2667</v>
      </c>
      <c r="D485" s="383">
        <v>476</v>
      </c>
      <c r="E485" s="384">
        <v>38166373.329999998</v>
      </c>
      <c r="F485" s="384">
        <v>0</v>
      </c>
      <c r="G485" s="384">
        <v>0</v>
      </c>
      <c r="H485" s="384">
        <v>0</v>
      </c>
      <c r="I485" s="384">
        <v>0</v>
      </c>
      <c r="J485" s="383">
        <v>475</v>
      </c>
      <c r="K485" s="383">
        <v>475</v>
      </c>
    </row>
    <row r="486" spans="1:11" x14ac:dyDescent="0.3">
      <c r="A486" t="s">
        <v>2223</v>
      </c>
      <c r="B486" t="s">
        <v>2603</v>
      </c>
      <c r="C486" t="s">
        <v>2668</v>
      </c>
      <c r="D486" s="383">
        <v>512</v>
      </c>
      <c r="E486" s="384">
        <v>49793929.590000004</v>
      </c>
      <c r="F486" s="384">
        <v>0</v>
      </c>
      <c r="G486" s="384">
        <v>0</v>
      </c>
      <c r="H486" s="384">
        <v>0</v>
      </c>
      <c r="I486" s="384">
        <v>0</v>
      </c>
      <c r="J486" s="383">
        <v>511</v>
      </c>
      <c r="K486" s="383">
        <v>511</v>
      </c>
    </row>
    <row r="487" spans="1:11" x14ac:dyDescent="0.3">
      <c r="A487" t="s">
        <v>2223</v>
      </c>
      <c r="B487" t="s">
        <v>2603</v>
      </c>
      <c r="C487" t="s">
        <v>2669</v>
      </c>
      <c r="D487" s="383">
        <v>452</v>
      </c>
      <c r="E487" s="384">
        <v>46655852.789999999</v>
      </c>
      <c r="F487" s="384">
        <v>0</v>
      </c>
      <c r="G487" s="384">
        <v>0</v>
      </c>
      <c r="H487" s="384">
        <v>0</v>
      </c>
      <c r="I487" s="384">
        <v>0</v>
      </c>
      <c r="J487" s="383">
        <v>450</v>
      </c>
      <c r="K487" s="383">
        <v>450</v>
      </c>
    </row>
    <row r="488" spans="1:11" x14ac:dyDescent="0.3">
      <c r="A488" t="s">
        <v>2223</v>
      </c>
      <c r="B488" t="s">
        <v>2603</v>
      </c>
      <c r="C488" t="s">
        <v>2670</v>
      </c>
      <c r="D488" s="383">
        <v>1921</v>
      </c>
      <c r="E488" s="384">
        <v>18434878.73</v>
      </c>
      <c r="F488" s="384">
        <v>0</v>
      </c>
      <c r="G488" s="384">
        <v>0</v>
      </c>
      <c r="H488" s="384">
        <v>0</v>
      </c>
      <c r="I488" s="384">
        <v>0</v>
      </c>
      <c r="J488" s="383">
        <v>1893</v>
      </c>
      <c r="K488" s="383">
        <v>1895</v>
      </c>
    </row>
    <row r="489" spans="1:11" x14ac:dyDescent="0.3">
      <c r="A489" t="s">
        <v>2223</v>
      </c>
      <c r="B489" t="s">
        <v>2603</v>
      </c>
      <c r="C489" t="s">
        <v>2671</v>
      </c>
      <c r="D489" s="383">
        <v>330</v>
      </c>
      <c r="E489" s="384">
        <v>36873313.509999998</v>
      </c>
      <c r="F489" s="384">
        <v>0</v>
      </c>
      <c r="G489" s="384">
        <v>0</v>
      </c>
      <c r="H489" s="384">
        <v>0</v>
      </c>
      <c r="I489" s="384">
        <v>0</v>
      </c>
      <c r="J489" s="383">
        <v>329</v>
      </c>
      <c r="K489" s="383">
        <v>329</v>
      </c>
    </row>
    <row r="490" spans="1:11" x14ac:dyDescent="0.3">
      <c r="A490" t="s">
        <v>2223</v>
      </c>
      <c r="B490" t="s">
        <v>2603</v>
      </c>
      <c r="C490" t="s">
        <v>2672</v>
      </c>
      <c r="D490" s="383">
        <v>191</v>
      </c>
      <c r="E490" s="384">
        <v>25561347.5</v>
      </c>
      <c r="F490" s="384">
        <v>0</v>
      </c>
      <c r="G490" s="384">
        <v>0</v>
      </c>
      <c r="H490" s="384">
        <v>0</v>
      </c>
      <c r="I490" s="384">
        <v>0</v>
      </c>
      <c r="J490" s="383">
        <v>191</v>
      </c>
      <c r="K490" s="383">
        <v>191</v>
      </c>
    </row>
    <row r="491" spans="1:11" x14ac:dyDescent="0.3">
      <c r="A491" t="s">
        <v>2223</v>
      </c>
      <c r="B491" t="s">
        <v>2603</v>
      </c>
      <c r="C491" t="s">
        <v>2673</v>
      </c>
      <c r="D491" s="383">
        <v>355</v>
      </c>
      <c r="E491" s="384">
        <v>44190375.380000003</v>
      </c>
      <c r="F491" s="384">
        <v>0</v>
      </c>
      <c r="G491" s="384">
        <v>0</v>
      </c>
      <c r="H491" s="384">
        <v>0</v>
      </c>
      <c r="I491" s="384">
        <v>0</v>
      </c>
      <c r="J491" s="383">
        <v>355</v>
      </c>
      <c r="K491" s="383">
        <v>355</v>
      </c>
    </row>
    <row r="492" spans="1:11" x14ac:dyDescent="0.3">
      <c r="A492" t="s">
        <v>2223</v>
      </c>
      <c r="B492" t="s">
        <v>2603</v>
      </c>
      <c r="C492" t="s">
        <v>2674</v>
      </c>
      <c r="D492" s="383">
        <v>399</v>
      </c>
      <c r="E492" s="384">
        <v>49579156.170000002</v>
      </c>
      <c r="F492" s="384">
        <v>0</v>
      </c>
      <c r="G492" s="384">
        <v>0</v>
      </c>
      <c r="H492" s="384">
        <v>0</v>
      </c>
      <c r="I492" s="384">
        <v>0</v>
      </c>
      <c r="J492" s="383">
        <v>397</v>
      </c>
      <c r="K492" s="383">
        <v>397</v>
      </c>
    </row>
    <row r="493" spans="1:11" x14ac:dyDescent="0.3">
      <c r="A493" t="s">
        <v>2223</v>
      </c>
      <c r="B493" t="s">
        <v>2603</v>
      </c>
      <c r="C493" t="s">
        <v>2675</v>
      </c>
      <c r="D493" s="383">
        <v>172</v>
      </c>
      <c r="E493" s="384">
        <v>22844670.789999999</v>
      </c>
      <c r="F493" s="384">
        <v>0</v>
      </c>
      <c r="G493" s="384">
        <v>0</v>
      </c>
      <c r="H493" s="384">
        <v>0</v>
      </c>
      <c r="I493" s="384">
        <v>0</v>
      </c>
      <c r="J493" s="383">
        <v>172</v>
      </c>
      <c r="K493" s="383">
        <v>172</v>
      </c>
    </row>
    <row r="494" spans="1:11" x14ac:dyDescent="0.3">
      <c r="A494" t="s">
        <v>2223</v>
      </c>
      <c r="B494" t="s">
        <v>2603</v>
      </c>
      <c r="C494" t="s">
        <v>2676</v>
      </c>
      <c r="D494" s="383">
        <v>164</v>
      </c>
      <c r="E494" s="384">
        <v>25047971.120000001</v>
      </c>
      <c r="F494" s="384">
        <v>0</v>
      </c>
      <c r="G494" s="384">
        <v>0</v>
      </c>
      <c r="H494" s="384">
        <v>0</v>
      </c>
      <c r="I494" s="384">
        <v>0</v>
      </c>
      <c r="J494" s="383">
        <v>164</v>
      </c>
      <c r="K494" s="383">
        <v>164</v>
      </c>
    </row>
    <row r="495" spans="1:11" x14ac:dyDescent="0.3">
      <c r="A495" t="s">
        <v>2223</v>
      </c>
      <c r="B495" t="s">
        <v>2603</v>
      </c>
      <c r="C495" t="s">
        <v>2677</v>
      </c>
      <c r="D495" s="383">
        <v>87</v>
      </c>
      <c r="E495" s="384">
        <v>14033344.880000001</v>
      </c>
      <c r="F495" s="384">
        <v>0</v>
      </c>
      <c r="G495" s="384">
        <v>0</v>
      </c>
      <c r="H495" s="384">
        <v>0</v>
      </c>
      <c r="I495" s="384">
        <v>0</v>
      </c>
      <c r="J495" s="383">
        <v>87</v>
      </c>
      <c r="K495" s="383">
        <v>87</v>
      </c>
    </row>
    <row r="496" spans="1:11" x14ac:dyDescent="0.3">
      <c r="A496" t="s">
        <v>2223</v>
      </c>
      <c r="B496" t="s">
        <v>2603</v>
      </c>
      <c r="C496" t="s">
        <v>2678</v>
      </c>
      <c r="D496" s="383">
        <v>13</v>
      </c>
      <c r="E496" s="384">
        <v>1970984.81</v>
      </c>
      <c r="F496" s="384">
        <v>0</v>
      </c>
      <c r="G496" s="384">
        <v>0</v>
      </c>
      <c r="H496" s="384">
        <v>0</v>
      </c>
      <c r="I496" s="384">
        <v>0</v>
      </c>
      <c r="J496" s="383">
        <v>13</v>
      </c>
      <c r="K496" s="383">
        <v>13</v>
      </c>
    </row>
    <row r="497" spans="1:11" x14ac:dyDescent="0.3">
      <c r="A497" t="s">
        <v>2223</v>
      </c>
      <c r="B497" t="s">
        <v>2603</v>
      </c>
      <c r="C497" t="s">
        <v>2679</v>
      </c>
      <c r="D497" s="383">
        <v>4</v>
      </c>
      <c r="E497" s="384">
        <v>603224.81999999995</v>
      </c>
      <c r="F497" s="384">
        <v>0</v>
      </c>
      <c r="G497" s="384">
        <v>0</v>
      </c>
      <c r="H497" s="384">
        <v>0</v>
      </c>
      <c r="I497" s="384">
        <v>0</v>
      </c>
      <c r="J497" s="383">
        <v>4</v>
      </c>
      <c r="K497" s="383">
        <v>4</v>
      </c>
    </row>
    <row r="498" spans="1:11" x14ac:dyDescent="0.3">
      <c r="A498" t="s">
        <v>2223</v>
      </c>
      <c r="B498" t="s">
        <v>2603</v>
      </c>
      <c r="C498" t="s">
        <v>2680</v>
      </c>
      <c r="D498" s="383">
        <v>1</v>
      </c>
      <c r="E498" s="384">
        <v>92449.41</v>
      </c>
      <c r="F498" s="384">
        <v>0</v>
      </c>
      <c r="G498" s="384">
        <v>0</v>
      </c>
      <c r="H498" s="384">
        <v>0</v>
      </c>
      <c r="I498" s="384">
        <v>0</v>
      </c>
      <c r="J498" s="383">
        <v>1</v>
      </c>
      <c r="K498" s="383">
        <v>1</v>
      </c>
    </row>
    <row r="499" spans="1:11" x14ac:dyDescent="0.3">
      <c r="A499" t="s">
        <v>2223</v>
      </c>
      <c r="B499" t="s">
        <v>2603</v>
      </c>
      <c r="C499" t="s">
        <v>2681</v>
      </c>
      <c r="D499" s="383">
        <v>1741</v>
      </c>
      <c r="E499" s="384">
        <v>24530941.100000001</v>
      </c>
      <c r="F499" s="384">
        <v>0</v>
      </c>
      <c r="G499" s="384">
        <v>0</v>
      </c>
      <c r="H499" s="384">
        <v>0</v>
      </c>
      <c r="I499" s="384">
        <v>0</v>
      </c>
      <c r="J499" s="383">
        <v>1706</v>
      </c>
      <c r="K499" s="383">
        <v>1707</v>
      </c>
    </row>
    <row r="500" spans="1:11" x14ac:dyDescent="0.3">
      <c r="A500" t="s">
        <v>2223</v>
      </c>
      <c r="B500" t="s">
        <v>2603</v>
      </c>
      <c r="C500" t="s">
        <v>2682</v>
      </c>
      <c r="D500" s="383">
        <v>1492</v>
      </c>
      <c r="E500" s="384">
        <v>28657062.02</v>
      </c>
      <c r="F500" s="384">
        <v>0</v>
      </c>
      <c r="G500" s="384">
        <v>0</v>
      </c>
      <c r="H500" s="384">
        <v>0</v>
      </c>
      <c r="I500" s="384">
        <v>0</v>
      </c>
      <c r="J500" s="383">
        <v>1451</v>
      </c>
      <c r="K500" s="383">
        <v>1453</v>
      </c>
    </row>
    <row r="501" spans="1:11" x14ac:dyDescent="0.3">
      <c r="A501" t="s">
        <v>2223</v>
      </c>
      <c r="B501" t="s">
        <v>2603</v>
      </c>
      <c r="C501" t="s">
        <v>2683</v>
      </c>
      <c r="D501" s="383">
        <v>1538</v>
      </c>
      <c r="E501" s="384">
        <v>34946674.259999998</v>
      </c>
      <c r="F501" s="384">
        <v>0</v>
      </c>
      <c r="G501" s="384">
        <v>0</v>
      </c>
      <c r="H501" s="384">
        <v>0</v>
      </c>
      <c r="I501" s="384">
        <v>0</v>
      </c>
      <c r="J501" s="383">
        <v>1491</v>
      </c>
      <c r="K501" s="383">
        <v>1492</v>
      </c>
    </row>
    <row r="502" spans="1:11" x14ac:dyDescent="0.3">
      <c r="A502" t="s">
        <v>2223</v>
      </c>
      <c r="B502" t="s">
        <v>2603</v>
      </c>
      <c r="C502" t="s">
        <v>2684</v>
      </c>
      <c r="D502" s="383">
        <v>1313</v>
      </c>
      <c r="E502" s="384">
        <v>37365779.659999996</v>
      </c>
      <c r="F502" s="384">
        <v>0</v>
      </c>
      <c r="G502" s="384">
        <v>0</v>
      </c>
      <c r="H502" s="384">
        <v>0</v>
      </c>
      <c r="I502" s="384">
        <v>0</v>
      </c>
      <c r="J502" s="383">
        <v>1288</v>
      </c>
      <c r="K502" s="383">
        <v>1288</v>
      </c>
    </row>
    <row r="503" spans="1:11" x14ac:dyDescent="0.3">
      <c r="A503" t="s">
        <v>2223</v>
      </c>
      <c r="B503" t="s">
        <v>2603</v>
      </c>
      <c r="C503" t="s">
        <v>2685</v>
      </c>
      <c r="D503" s="383">
        <v>1208</v>
      </c>
      <c r="E503" s="384">
        <v>39124238.619999997</v>
      </c>
      <c r="F503" s="384">
        <v>0</v>
      </c>
      <c r="G503" s="384">
        <v>0</v>
      </c>
      <c r="H503" s="384">
        <v>0</v>
      </c>
      <c r="I503" s="384">
        <v>0</v>
      </c>
      <c r="J503" s="383">
        <v>1186</v>
      </c>
      <c r="K503" s="383">
        <v>1188</v>
      </c>
    </row>
    <row r="504" spans="1:11" x14ac:dyDescent="0.3">
      <c r="A504" t="s">
        <v>2223</v>
      </c>
      <c r="B504" t="s">
        <v>2603</v>
      </c>
      <c r="C504" t="s">
        <v>2686</v>
      </c>
      <c r="D504" s="383">
        <v>1267</v>
      </c>
      <c r="E504" s="384">
        <v>44476413.210000001</v>
      </c>
      <c r="F504" s="384">
        <v>0</v>
      </c>
      <c r="G504" s="384">
        <v>0</v>
      </c>
      <c r="H504" s="384">
        <v>0</v>
      </c>
      <c r="I504" s="384">
        <v>0</v>
      </c>
      <c r="J504" s="383">
        <v>1231</v>
      </c>
      <c r="K504" s="383">
        <v>1233</v>
      </c>
    </row>
    <row r="505" spans="1:11" x14ac:dyDescent="0.3">
      <c r="A505" t="s">
        <v>2223</v>
      </c>
      <c r="B505" t="s">
        <v>2603</v>
      </c>
      <c r="C505" t="s">
        <v>2687</v>
      </c>
      <c r="D505" s="383">
        <v>1327</v>
      </c>
      <c r="E505" s="384">
        <v>53460011.600000001</v>
      </c>
      <c r="F505" s="384">
        <v>0</v>
      </c>
      <c r="G505" s="384">
        <v>0</v>
      </c>
      <c r="H505" s="384">
        <v>0</v>
      </c>
      <c r="I505" s="384">
        <v>0</v>
      </c>
      <c r="J505" s="383">
        <v>1276</v>
      </c>
      <c r="K505" s="383">
        <v>1279</v>
      </c>
    </row>
    <row r="506" spans="1:11" x14ac:dyDescent="0.3">
      <c r="A506" t="s">
        <v>2223</v>
      </c>
      <c r="B506" t="s">
        <v>2603</v>
      </c>
      <c r="C506" t="s">
        <v>2688</v>
      </c>
      <c r="D506" s="383">
        <v>12020</v>
      </c>
      <c r="E506" s="384">
        <v>77880346.379999995</v>
      </c>
      <c r="F506" s="384">
        <v>0</v>
      </c>
      <c r="G506" s="384">
        <v>0</v>
      </c>
      <c r="H506" s="384">
        <v>0</v>
      </c>
      <c r="I506" s="384">
        <v>0</v>
      </c>
      <c r="J506" s="383">
        <v>11628</v>
      </c>
      <c r="K506" s="383">
        <v>11737</v>
      </c>
    </row>
    <row r="507" spans="1:11" x14ac:dyDescent="0.3">
      <c r="A507" t="s">
        <v>2223</v>
      </c>
      <c r="B507" t="s">
        <v>2603</v>
      </c>
      <c r="C507" t="s">
        <v>2689</v>
      </c>
      <c r="D507" s="383">
        <v>10091</v>
      </c>
      <c r="E507" s="384">
        <v>820208903.02999997</v>
      </c>
      <c r="F507" s="384">
        <v>0</v>
      </c>
      <c r="G507" s="384">
        <v>0</v>
      </c>
      <c r="H507" s="384">
        <v>0</v>
      </c>
      <c r="I507" s="384">
        <v>0</v>
      </c>
      <c r="J507" s="383">
        <v>9768</v>
      </c>
      <c r="K507" s="383">
        <v>9880</v>
      </c>
    </row>
    <row r="508" spans="1:11" x14ac:dyDescent="0.3">
      <c r="A508" t="s">
        <v>2223</v>
      </c>
      <c r="B508" t="s">
        <v>2603</v>
      </c>
      <c r="C508" t="s">
        <v>2690</v>
      </c>
      <c r="D508" s="383">
        <v>9586</v>
      </c>
      <c r="E508" s="384">
        <v>861627224.10000002</v>
      </c>
      <c r="F508" s="384">
        <v>0</v>
      </c>
      <c r="G508" s="384">
        <v>0</v>
      </c>
      <c r="H508" s="384">
        <v>0</v>
      </c>
      <c r="I508" s="384">
        <v>0</v>
      </c>
      <c r="J508" s="383">
        <v>9289</v>
      </c>
      <c r="K508" s="383">
        <v>9423</v>
      </c>
    </row>
    <row r="509" spans="1:11" x14ac:dyDescent="0.3">
      <c r="A509" t="s">
        <v>2223</v>
      </c>
      <c r="B509" t="s">
        <v>2603</v>
      </c>
      <c r="C509" t="s">
        <v>2691</v>
      </c>
      <c r="D509" s="383">
        <v>7769</v>
      </c>
      <c r="E509" s="384">
        <v>751065673.01999998</v>
      </c>
      <c r="F509" s="384">
        <v>0</v>
      </c>
      <c r="G509" s="384">
        <v>0</v>
      </c>
      <c r="H509" s="384">
        <v>0</v>
      </c>
      <c r="I509" s="384">
        <v>0</v>
      </c>
      <c r="J509" s="383">
        <v>7526</v>
      </c>
      <c r="K509" s="383">
        <v>7654</v>
      </c>
    </row>
    <row r="510" spans="1:11" x14ac:dyDescent="0.3">
      <c r="A510" t="s">
        <v>2223</v>
      </c>
      <c r="B510" t="s">
        <v>2603</v>
      </c>
      <c r="C510" t="s">
        <v>2692</v>
      </c>
      <c r="D510" s="383">
        <v>7656</v>
      </c>
      <c r="E510" s="384">
        <v>776429405.86000001</v>
      </c>
      <c r="F510" s="384">
        <v>0</v>
      </c>
      <c r="G510" s="384">
        <v>0</v>
      </c>
      <c r="H510" s="384">
        <v>0</v>
      </c>
      <c r="I510" s="384">
        <v>0</v>
      </c>
      <c r="J510" s="383">
        <v>7398</v>
      </c>
      <c r="K510" s="383">
        <v>7538</v>
      </c>
    </row>
    <row r="511" spans="1:11" x14ac:dyDescent="0.3">
      <c r="A511" t="s">
        <v>2223</v>
      </c>
      <c r="B511" t="s">
        <v>2603</v>
      </c>
      <c r="C511" t="s">
        <v>2693</v>
      </c>
      <c r="D511" s="383">
        <v>7612</v>
      </c>
      <c r="E511" s="384">
        <v>888348541.80999994</v>
      </c>
      <c r="F511" s="384">
        <v>0</v>
      </c>
      <c r="G511" s="384">
        <v>0</v>
      </c>
      <c r="H511" s="384">
        <v>0</v>
      </c>
      <c r="I511" s="384">
        <v>0</v>
      </c>
      <c r="J511" s="383">
        <v>7356</v>
      </c>
      <c r="K511" s="383">
        <v>7505</v>
      </c>
    </row>
    <row r="512" spans="1:11" x14ac:dyDescent="0.3">
      <c r="A512" t="s">
        <v>2223</v>
      </c>
      <c r="B512" t="s">
        <v>2603</v>
      </c>
      <c r="C512" t="s">
        <v>2694</v>
      </c>
      <c r="D512" s="383">
        <v>7336</v>
      </c>
      <c r="E512" s="384">
        <v>899555212.73000002</v>
      </c>
      <c r="F512" s="384">
        <v>0</v>
      </c>
      <c r="G512" s="384">
        <v>0</v>
      </c>
      <c r="H512" s="384">
        <v>0</v>
      </c>
      <c r="I512" s="384">
        <v>0</v>
      </c>
      <c r="J512" s="383">
        <v>7125</v>
      </c>
      <c r="K512" s="383">
        <v>7254</v>
      </c>
    </row>
    <row r="513" spans="1:11" x14ac:dyDescent="0.3">
      <c r="A513" t="s">
        <v>2223</v>
      </c>
      <c r="B513" t="s">
        <v>2603</v>
      </c>
      <c r="C513" t="s">
        <v>2695</v>
      </c>
      <c r="D513" s="383">
        <v>6970</v>
      </c>
      <c r="E513" s="384">
        <v>933820405.03999996</v>
      </c>
      <c r="F513" s="384">
        <v>0</v>
      </c>
      <c r="G513" s="384">
        <v>0</v>
      </c>
      <c r="H513" s="384">
        <v>0</v>
      </c>
      <c r="I513" s="384">
        <v>0</v>
      </c>
      <c r="J513" s="383">
        <v>6812</v>
      </c>
      <c r="K513" s="383">
        <v>6909</v>
      </c>
    </row>
    <row r="514" spans="1:11" x14ac:dyDescent="0.3">
      <c r="A514" t="s">
        <v>2223</v>
      </c>
      <c r="B514" t="s">
        <v>2603</v>
      </c>
      <c r="C514" t="s">
        <v>2696</v>
      </c>
      <c r="D514" s="383">
        <v>5522</v>
      </c>
      <c r="E514" s="384">
        <v>778719301.57000005</v>
      </c>
      <c r="F514" s="384">
        <v>0</v>
      </c>
      <c r="G514" s="384">
        <v>0</v>
      </c>
      <c r="H514" s="384">
        <v>0</v>
      </c>
      <c r="I514" s="384">
        <v>0</v>
      </c>
      <c r="J514" s="383">
        <v>5418</v>
      </c>
      <c r="K514" s="383">
        <v>5489</v>
      </c>
    </row>
    <row r="515" spans="1:11" x14ac:dyDescent="0.3">
      <c r="A515" t="s">
        <v>2223</v>
      </c>
      <c r="B515" t="s">
        <v>2603</v>
      </c>
      <c r="C515" t="s">
        <v>2697</v>
      </c>
      <c r="D515" s="383">
        <v>5981</v>
      </c>
      <c r="E515" s="384">
        <v>884568420.61000001</v>
      </c>
      <c r="F515" s="384">
        <v>0</v>
      </c>
      <c r="G515" s="384">
        <v>0</v>
      </c>
      <c r="H515" s="384">
        <v>0</v>
      </c>
      <c r="I515" s="384">
        <v>0</v>
      </c>
      <c r="J515" s="383">
        <v>5873</v>
      </c>
      <c r="K515" s="383">
        <v>5937</v>
      </c>
    </row>
    <row r="516" spans="1:11" x14ac:dyDescent="0.3">
      <c r="A516" t="s">
        <v>2223</v>
      </c>
      <c r="B516" t="s">
        <v>2603</v>
      </c>
      <c r="C516" t="s">
        <v>2698</v>
      </c>
      <c r="D516" s="383">
        <v>6445</v>
      </c>
      <c r="E516" s="384">
        <v>1004527154.39</v>
      </c>
      <c r="F516" s="384">
        <v>0</v>
      </c>
      <c r="G516" s="384">
        <v>0</v>
      </c>
      <c r="H516" s="384">
        <v>0</v>
      </c>
      <c r="I516" s="384">
        <v>0</v>
      </c>
      <c r="J516" s="383">
        <v>6346</v>
      </c>
      <c r="K516" s="383">
        <v>6396</v>
      </c>
    </row>
    <row r="517" spans="1:11" x14ac:dyDescent="0.3">
      <c r="A517" t="s">
        <v>2223</v>
      </c>
      <c r="B517" t="s">
        <v>2603</v>
      </c>
      <c r="C517" t="s">
        <v>2699</v>
      </c>
      <c r="D517" s="383">
        <v>8876</v>
      </c>
      <c r="E517" s="384">
        <v>147795959.81</v>
      </c>
      <c r="F517" s="384">
        <v>0</v>
      </c>
      <c r="G517" s="384">
        <v>0</v>
      </c>
      <c r="H517" s="384">
        <v>0</v>
      </c>
      <c r="I517" s="384">
        <v>0</v>
      </c>
      <c r="J517" s="383">
        <v>8684</v>
      </c>
      <c r="K517" s="383">
        <v>8760</v>
      </c>
    </row>
    <row r="518" spans="1:11" x14ac:dyDescent="0.3">
      <c r="A518" t="s">
        <v>2223</v>
      </c>
      <c r="B518" t="s">
        <v>2603</v>
      </c>
      <c r="C518" t="s">
        <v>2700</v>
      </c>
      <c r="D518" s="383">
        <v>5236</v>
      </c>
      <c r="E518" s="384">
        <v>873644260.74000001</v>
      </c>
      <c r="F518" s="384">
        <v>0</v>
      </c>
      <c r="G518" s="384">
        <v>0</v>
      </c>
      <c r="H518" s="384">
        <v>0</v>
      </c>
      <c r="I518" s="384">
        <v>0</v>
      </c>
      <c r="J518" s="383">
        <v>5155</v>
      </c>
      <c r="K518" s="383">
        <v>5191</v>
      </c>
    </row>
    <row r="519" spans="1:11" x14ac:dyDescent="0.3">
      <c r="A519" t="s">
        <v>2223</v>
      </c>
      <c r="B519" t="s">
        <v>2603</v>
      </c>
      <c r="C519" t="s">
        <v>2701</v>
      </c>
      <c r="D519" s="383">
        <v>4684</v>
      </c>
      <c r="E519" s="384">
        <v>852777076.66999996</v>
      </c>
      <c r="F519" s="384">
        <v>0</v>
      </c>
      <c r="G519" s="384">
        <v>0</v>
      </c>
      <c r="H519" s="384">
        <v>0</v>
      </c>
      <c r="I519" s="384">
        <v>0</v>
      </c>
      <c r="J519" s="383">
        <v>4625</v>
      </c>
      <c r="K519" s="383">
        <v>4656</v>
      </c>
    </row>
    <row r="520" spans="1:11" x14ac:dyDescent="0.3">
      <c r="A520" t="s">
        <v>2223</v>
      </c>
      <c r="B520" t="s">
        <v>2603</v>
      </c>
      <c r="C520" t="s">
        <v>2702</v>
      </c>
      <c r="D520" s="383">
        <v>3179</v>
      </c>
      <c r="E520" s="384">
        <v>598624674.19000006</v>
      </c>
      <c r="F520" s="384">
        <v>0</v>
      </c>
      <c r="G520" s="384">
        <v>0</v>
      </c>
      <c r="H520" s="384">
        <v>0</v>
      </c>
      <c r="I520" s="384">
        <v>0</v>
      </c>
      <c r="J520" s="383">
        <v>3116</v>
      </c>
      <c r="K520" s="383">
        <v>3128</v>
      </c>
    </row>
    <row r="521" spans="1:11" x14ac:dyDescent="0.3">
      <c r="A521" t="s">
        <v>2223</v>
      </c>
      <c r="B521" t="s">
        <v>2603</v>
      </c>
      <c r="C521" t="s">
        <v>2703</v>
      </c>
      <c r="D521" s="383">
        <v>2860</v>
      </c>
      <c r="E521" s="384">
        <v>493919226.56</v>
      </c>
      <c r="F521" s="384">
        <v>0</v>
      </c>
      <c r="G521" s="384">
        <v>0</v>
      </c>
      <c r="H521" s="384">
        <v>0</v>
      </c>
      <c r="I521" s="384">
        <v>0</v>
      </c>
      <c r="J521" s="383">
        <v>2783</v>
      </c>
      <c r="K521" s="383">
        <v>2796</v>
      </c>
    </row>
    <row r="522" spans="1:11" x14ac:dyDescent="0.3">
      <c r="A522" t="s">
        <v>2223</v>
      </c>
      <c r="B522" t="s">
        <v>2603</v>
      </c>
      <c r="C522" t="s">
        <v>2704</v>
      </c>
      <c r="D522" s="383">
        <v>2316</v>
      </c>
      <c r="E522" s="384">
        <v>408106777.12</v>
      </c>
      <c r="F522" s="384">
        <v>0</v>
      </c>
      <c r="G522" s="384">
        <v>0</v>
      </c>
      <c r="H522" s="384">
        <v>0</v>
      </c>
      <c r="I522" s="384">
        <v>0</v>
      </c>
      <c r="J522" s="383">
        <v>2258</v>
      </c>
      <c r="K522" s="383">
        <v>2264</v>
      </c>
    </row>
    <row r="523" spans="1:11" x14ac:dyDescent="0.3">
      <c r="A523" t="s">
        <v>2223</v>
      </c>
      <c r="B523" t="s">
        <v>2603</v>
      </c>
      <c r="C523" t="s">
        <v>2705</v>
      </c>
      <c r="D523" s="383">
        <v>408</v>
      </c>
      <c r="E523" s="384">
        <v>69717826.370000005</v>
      </c>
      <c r="F523" s="384">
        <v>0</v>
      </c>
      <c r="G523" s="384">
        <v>0</v>
      </c>
      <c r="H523" s="384">
        <v>0</v>
      </c>
      <c r="I523" s="384">
        <v>0</v>
      </c>
      <c r="J523" s="383">
        <v>400</v>
      </c>
      <c r="K523" s="383">
        <v>401</v>
      </c>
    </row>
    <row r="524" spans="1:11" x14ac:dyDescent="0.3">
      <c r="A524" t="s">
        <v>2223</v>
      </c>
      <c r="B524" t="s">
        <v>2603</v>
      </c>
      <c r="C524" t="s">
        <v>2706</v>
      </c>
      <c r="D524" s="383">
        <v>41</v>
      </c>
      <c r="E524" s="384">
        <v>8199736.7000000002</v>
      </c>
      <c r="F524" s="384">
        <v>0</v>
      </c>
      <c r="G524" s="384">
        <v>0</v>
      </c>
      <c r="H524" s="384">
        <v>0</v>
      </c>
      <c r="I524" s="384">
        <v>0</v>
      </c>
      <c r="J524" s="383">
        <v>41</v>
      </c>
      <c r="K524" s="383">
        <v>41</v>
      </c>
    </row>
    <row r="525" spans="1:11" x14ac:dyDescent="0.3">
      <c r="A525" t="s">
        <v>2223</v>
      </c>
      <c r="B525" t="s">
        <v>2603</v>
      </c>
      <c r="C525" t="s">
        <v>2707</v>
      </c>
      <c r="D525" s="383">
        <v>21</v>
      </c>
      <c r="E525" s="384">
        <v>3455995.71</v>
      </c>
      <c r="F525" s="384">
        <v>0</v>
      </c>
      <c r="G525" s="384">
        <v>0</v>
      </c>
      <c r="H525" s="384">
        <v>0</v>
      </c>
      <c r="I525" s="384">
        <v>0</v>
      </c>
      <c r="J525" s="383">
        <v>19</v>
      </c>
      <c r="K525" s="383">
        <v>19</v>
      </c>
    </row>
    <row r="526" spans="1:11" x14ac:dyDescent="0.3">
      <c r="A526" t="s">
        <v>2223</v>
      </c>
      <c r="B526" t="s">
        <v>2603</v>
      </c>
      <c r="C526" t="s">
        <v>2708</v>
      </c>
      <c r="D526" s="383">
        <v>5</v>
      </c>
      <c r="E526" s="384">
        <v>752649.95</v>
      </c>
      <c r="F526" s="384">
        <v>0</v>
      </c>
      <c r="G526" s="384">
        <v>0</v>
      </c>
      <c r="H526" s="384">
        <v>0</v>
      </c>
      <c r="I526" s="384">
        <v>0</v>
      </c>
      <c r="J526" s="383">
        <v>5</v>
      </c>
      <c r="K526" s="383">
        <v>5</v>
      </c>
    </row>
    <row r="527" spans="1:11" x14ac:dyDescent="0.3">
      <c r="A527" t="s">
        <v>2223</v>
      </c>
      <c r="B527" t="s">
        <v>2603</v>
      </c>
      <c r="C527" t="s">
        <v>2709</v>
      </c>
      <c r="D527" s="383">
        <v>5</v>
      </c>
      <c r="E527" s="384">
        <v>1140409.02</v>
      </c>
      <c r="F527" s="384">
        <v>0</v>
      </c>
      <c r="G527" s="384">
        <v>0</v>
      </c>
      <c r="H527" s="384">
        <v>0</v>
      </c>
      <c r="I527" s="384">
        <v>0</v>
      </c>
      <c r="J527" s="383">
        <v>5</v>
      </c>
      <c r="K527" s="383">
        <v>5</v>
      </c>
    </row>
    <row r="528" spans="1:11" x14ac:dyDescent="0.3">
      <c r="A528" t="s">
        <v>2223</v>
      </c>
      <c r="B528" t="s">
        <v>2603</v>
      </c>
      <c r="C528" t="s">
        <v>2710</v>
      </c>
      <c r="D528" s="383">
        <v>8510</v>
      </c>
      <c r="E528" s="384">
        <v>213256770.43000001</v>
      </c>
      <c r="F528" s="384">
        <v>0</v>
      </c>
      <c r="G528" s="384">
        <v>0</v>
      </c>
      <c r="H528" s="384">
        <v>0</v>
      </c>
      <c r="I528" s="384">
        <v>0</v>
      </c>
      <c r="J528" s="383">
        <v>8317</v>
      </c>
      <c r="K528" s="383">
        <v>8396</v>
      </c>
    </row>
    <row r="529" spans="1:11" x14ac:dyDescent="0.3">
      <c r="A529" t="s">
        <v>2223</v>
      </c>
      <c r="B529" t="s">
        <v>2603</v>
      </c>
      <c r="C529" t="s">
        <v>2711</v>
      </c>
      <c r="D529" s="383">
        <v>1</v>
      </c>
      <c r="E529" s="384">
        <v>184012.36</v>
      </c>
      <c r="F529" s="384">
        <v>0</v>
      </c>
      <c r="G529" s="384">
        <v>0</v>
      </c>
      <c r="H529" s="384">
        <v>0</v>
      </c>
      <c r="I529" s="384">
        <v>0</v>
      </c>
      <c r="J529" s="383">
        <v>1</v>
      </c>
      <c r="K529" s="383">
        <v>1</v>
      </c>
    </row>
    <row r="530" spans="1:11" x14ac:dyDescent="0.3">
      <c r="A530" t="s">
        <v>2223</v>
      </c>
      <c r="B530" t="s">
        <v>2603</v>
      </c>
      <c r="C530" t="s">
        <v>2712</v>
      </c>
      <c r="D530" s="383">
        <v>9000</v>
      </c>
      <c r="E530" s="384">
        <v>311552328.31</v>
      </c>
      <c r="F530" s="384">
        <v>0</v>
      </c>
      <c r="G530" s="384">
        <v>0</v>
      </c>
      <c r="H530" s="384">
        <v>0</v>
      </c>
      <c r="I530" s="384">
        <v>0</v>
      </c>
      <c r="J530" s="383">
        <v>8787</v>
      </c>
      <c r="K530" s="383">
        <v>8878</v>
      </c>
    </row>
    <row r="531" spans="1:11" x14ac:dyDescent="0.3">
      <c r="A531" t="s">
        <v>2223</v>
      </c>
      <c r="B531" t="s">
        <v>2603</v>
      </c>
      <c r="C531" t="s">
        <v>2713</v>
      </c>
      <c r="D531" s="383">
        <v>9787</v>
      </c>
      <c r="E531" s="384">
        <v>406874577.67000002</v>
      </c>
      <c r="F531" s="384">
        <v>0</v>
      </c>
      <c r="G531" s="384">
        <v>0</v>
      </c>
      <c r="H531" s="384">
        <v>0</v>
      </c>
      <c r="I531" s="384">
        <v>0</v>
      </c>
      <c r="J531" s="383">
        <v>9545</v>
      </c>
      <c r="K531" s="383">
        <v>9631</v>
      </c>
    </row>
    <row r="532" spans="1:11" x14ac:dyDescent="0.3">
      <c r="A532" t="s">
        <v>2223</v>
      </c>
      <c r="B532" t="s">
        <v>2603</v>
      </c>
      <c r="C532" t="s">
        <v>2714</v>
      </c>
      <c r="D532" s="383">
        <v>9414</v>
      </c>
      <c r="E532" s="384">
        <v>509703104.55000001</v>
      </c>
      <c r="F532" s="384">
        <v>0</v>
      </c>
      <c r="G532" s="384">
        <v>0</v>
      </c>
      <c r="H532" s="384">
        <v>0</v>
      </c>
      <c r="I532" s="384">
        <v>0</v>
      </c>
      <c r="J532" s="383">
        <v>9218</v>
      </c>
      <c r="K532" s="383">
        <v>9308</v>
      </c>
    </row>
    <row r="533" spans="1:11" x14ac:dyDescent="0.3">
      <c r="A533" t="s">
        <v>2223</v>
      </c>
      <c r="B533" t="s">
        <v>2603</v>
      </c>
      <c r="C533" t="s">
        <v>2715</v>
      </c>
      <c r="D533" s="383">
        <v>8353</v>
      </c>
      <c r="E533" s="384">
        <v>514773905.97000003</v>
      </c>
      <c r="F533" s="384">
        <v>0</v>
      </c>
      <c r="G533" s="384">
        <v>0</v>
      </c>
      <c r="H533" s="384">
        <v>0</v>
      </c>
      <c r="I533" s="384">
        <v>0</v>
      </c>
      <c r="J533" s="383">
        <v>8190</v>
      </c>
      <c r="K533" s="383">
        <v>8279</v>
      </c>
    </row>
    <row r="534" spans="1:11" x14ac:dyDescent="0.3">
      <c r="A534" t="s">
        <v>2223</v>
      </c>
      <c r="B534" t="s">
        <v>2603</v>
      </c>
      <c r="C534" t="s">
        <v>2716</v>
      </c>
      <c r="D534" s="383">
        <v>9173</v>
      </c>
      <c r="E534" s="384">
        <v>606059963.05999994</v>
      </c>
      <c r="F534" s="384">
        <v>0</v>
      </c>
      <c r="G534" s="384">
        <v>0</v>
      </c>
      <c r="H534" s="384">
        <v>0</v>
      </c>
      <c r="I534" s="384">
        <v>0</v>
      </c>
      <c r="J534" s="383">
        <v>8966</v>
      </c>
      <c r="K534" s="383">
        <v>9058</v>
      </c>
    </row>
    <row r="535" spans="1:11" x14ac:dyDescent="0.3">
      <c r="A535" t="s">
        <v>2223</v>
      </c>
      <c r="B535" t="s">
        <v>2603</v>
      </c>
      <c r="C535" t="s">
        <v>2717</v>
      </c>
      <c r="D535" s="383">
        <v>9825</v>
      </c>
      <c r="E535" s="384">
        <v>750122642.51999998</v>
      </c>
      <c r="F535" s="384">
        <v>0</v>
      </c>
      <c r="G535" s="384">
        <v>0</v>
      </c>
      <c r="H535" s="384">
        <v>0</v>
      </c>
      <c r="I535" s="384">
        <v>0</v>
      </c>
      <c r="J535" s="383">
        <v>9602</v>
      </c>
      <c r="K535" s="383">
        <v>9720</v>
      </c>
    </row>
    <row r="536" spans="1:11" x14ac:dyDescent="0.3">
      <c r="A536" t="s">
        <v>2223</v>
      </c>
      <c r="B536" t="s">
        <v>2603</v>
      </c>
      <c r="C536" t="s">
        <v>2718</v>
      </c>
      <c r="D536" s="383">
        <v>6292</v>
      </c>
      <c r="E536" s="384">
        <v>42160914.899999999</v>
      </c>
      <c r="F536" s="384">
        <v>0</v>
      </c>
      <c r="G536" s="384">
        <v>0</v>
      </c>
      <c r="H536" s="384">
        <v>0</v>
      </c>
      <c r="I536" s="384">
        <v>0</v>
      </c>
      <c r="J536" s="383">
        <v>6207</v>
      </c>
      <c r="K536" s="383">
        <v>6275</v>
      </c>
    </row>
    <row r="537" spans="1:11" x14ac:dyDescent="0.3">
      <c r="A537" t="s">
        <v>2223</v>
      </c>
      <c r="B537" t="s">
        <v>2603</v>
      </c>
      <c r="C537" t="s">
        <v>2719</v>
      </c>
      <c r="D537" s="383">
        <v>9754</v>
      </c>
      <c r="E537" s="384">
        <v>788075163.92999995</v>
      </c>
      <c r="F537" s="384">
        <v>0</v>
      </c>
      <c r="G537" s="384">
        <v>0</v>
      </c>
      <c r="H537" s="384">
        <v>0</v>
      </c>
      <c r="I537" s="384">
        <v>0</v>
      </c>
      <c r="J537" s="383">
        <v>9599</v>
      </c>
      <c r="K537" s="383">
        <v>9710</v>
      </c>
    </row>
    <row r="538" spans="1:11" x14ac:dyDescent="0.3">
      <c r="A538" t="s">
        <v>2223</v>
      </c>
      <c r="B538" t="s">
        <v>2603</v>
      </c>
      <c r="C538" t="s">
        <v>2720</v>
      </c>
      <c r="D538" s="383">
        <v>10212</v>
      </c>
      <c r="E538" s="384">
        <v>929548764.61000001</v>
      </c>
      <c r="F538" s="384">
        <v>0</v>
      </c>
      <c r="G538" s="384">
        <v>0</v>
      </c>
      <c r="H538" s="384">
        <v>0</v>
      </c>
      <c r="I538" s="384">
        <v>0</v>
      </c>
      <c r="J538" s="383">
        <v>10034</v>
      </c>
      <c r="K538" s="383">
        <v>10141</v>
      </c>
    </row>
    <row r="539" spans="1:11" x14ac:dyDescent="0.3">
      <c r="A539" t="s">
        <v>2223</v>
      </c>
      <c r="B539" t="s">
        <v>2603</v>
      </c>
      <c r="C539" t="s">
        <v>2721</v>
      </c>
      <c r="D539" s="383">
        <v>8434</v>
      </c>
      <c r="E539" s="384">
        <v>813228623.64999998</v>
      </c>
      <c r="F539" s="384">
        <v>0</v>
      </c>
      <c r="G539" s="384">
        <v>0</v>
      </c>
      <c r="H539" s="384">
        <v>0</v>
      </c>
      <c r="I539" s="384">
        <v>0</v>
      </c>
      <c r="J539" s="383">
        <v>8228</v>
      </c>
      <c r="K539" s="383">
        <v>8316</v>
      </c>
    </row>
    <row r="540" spans="1:11" x14ac:dyDescent="0.3">
      <c r="A540" t="s">
        <v>2223</v>
      </c>
      <c r="B540" t="s">
        <v>2603</v>
      </c>
      <c r="C540" t="s">
        <v>2722</v>
      </c>
      <c r="D540" s="383">
        <v>7986</v>
      </c>
      <c r="E540" s="384">
        <v>812878450.97000003</v>
      </c>
      <c r="F540" s="384">
        <v>0</v>
      </c>
      <c r="G540" s="384">
        <v>0</v>
      </c>
      <c r="H540" s="384">
        <v>0</v>
      </c>
      <c r="I540" s="384">
        <v>0</v>
      </c>
      <c r="J540" s="383">
        <v>7784</v>
      </c>
      <c r="K540" s="383">
        <v>7862</v>
      </c>
    </row>
    <row r="541" spans="1:11" x14ac:dyDescent="0.3">
      <c r="A541" t="s">
        <v>2223</v>
      </c>
      <c r="B541" t="s">
        <v>2603</v>
      </c>
      <c r="C541" t="s">
        <v>2723</v>
      </c>
      <c r="D541" s="383">
        <v>9290</v>
      </c>
      <c r="E541" s="384">
        <v>1055318900.01</v>
      </c>
      <c r="F541" s="384">
        <v>0</v>
      </c>
      <c r="G541" s="384">
        <v>0</v>
      </c>
      <c r="H541" s="384">
        <v>0</v>
      </c>
      <c r="I541" s="384">
        <v>0</v>
      </c>
      <c r="J541" s="383">
        <v>9114</v>
      </c>
      <c r="K541" s="383">
        <v>9231</v>
      </c>
    </row>
    <row r="542" spans="1:11" x14ac:dyDescent="0.3">
      <c r="A542" t="s">
        <v>2223</v>
      </c>
      <c r="B542" t="s">
        <v>2603</v>
      </c>
      <c r="C542" t="s">
        <v>2724</v>
      </c>
      <c r="D542" s="383">
        <v>9207</v>
      </c>
      <c r="E542" s="384">
        <v>1167856783.8299999</v>
      </c>
      <c r="F542" s="384">
        <v>0</v>
      </c>
      <c r="G542" s="384">
        <v>0</v>
      </c>
      <c r="H542" s="384">
        <v>0</v>
      </c>
      <c r="I542" s="384">
        <v>0</v>
      </c>
      <c r="J542" s="383">
        <v>9061</v>
      </c>
      <c r="K542" s="383">
        <v>9185</v>
      </c>
    </row>
    <row r="543" spans="1:11" x14ac:dyDescent="0.3">
      <c r="A543" t="s">
        <v>2223</v>
      </c>
      <c r="B543" t="s">
        <v>2603</v>
      </c>
      <c r="C543" t="s">
        <v>2725</v>
      </c>
      <c r="D543" s="383">
        <v>8446</v>
      </c>
      <c r="E543" s="384">
        <v>1162981570.0899999</v>
      </c>
      <c r="F543" s="384">
        <v>0</v>
      </c>
      <c r="G543" s="384">
        <v>0</v>
      </c>
      <c r="H543" s="384">
        <v>0</v>
      </c>
      <c r="I543" s="384">
        <v>0</v>
      </c>
      <c r="J543" s="383">
        <v>8361</v>
      </c>
      <c r="K543" s="383">
        <v>8433</v>
      </c>
    </row>
    <row r="544" spans="1:11" x14ac:dyDescent="0.3">
      <c r="A544" t="s">
        <v>2223</v>
      </c>
      <c r="B544" t="s">
        <v>2603</v>
      </c>
      <c r="C544" t="s">
        <v>2726</v>
      </c>
      <c r="D544" s="383">
        <v>6547</v>
      </c>
      <c r="E544" s="384">
        <v>863970661.24000001</v>
      </c>
      <c r="F544" s="384">
        <v>0</v>
      </c>
      <c r="G544" s="384">
        <v>0</v>
      </c>
      <c r="H544" s="384">
        <v>0</v>
      </c>
      <c r="I544" s="384">
        <v>0</v>
      </c>
      <c r="J544" s="383">
        <v>6455</v>
      </c>
      <c r="K544" s="383">
        <v>6481</v>
      </c>
    </row>
    <row r="545" spans="1:11" x14ac:dyDescent="0.3">
      <c r="A545" t="s">
        <v>2223</v>
      </c>
      <c r="B545" t="s">
        <v>2603</v>
      </c>
      <c r="C545" t="s">
        <v>2727</v>
      </c>
      <c r="D545" s="383">
        <v>5806</v>
      </c>
      <c r="E545" s="384">
        <v>853907126.26999998</v>
      </c>
      <c r="F545" s="384">
        <v>0</v>
      </c>
      <c r="G545" s="384">
        <v>0</v>
      </c>
      <c r="H545" s="384">
        <v>0</v>
      </c>
      <c r="I545" s="384">
        <v>0</v>
      </c>
      <c r="J545" s="383">
        <v>5763</v>
      </c>
      <c r="K545" s="383">
        <v>5785</v>
      </c>
    </row>
    <row r="546" spans="1:11" x14ac:dyDescent="0.3">
      <c r="A546" t="s">
        <v>2223</v>
      </c>
      <c r="B546" t="s">
        <v>2603</v>
      </c>
      <c r="C546" t="s">
        <v>2728</v>
      </c>
      <c r="D546" s="383">
        <v>9734</v>
      </c>
      <c r="E546" s="384">
        <v>1553232005.6600001</v>
      </c>
      <c r="F546" s="384">
        <v>0</v>
      </c>
      <c r="G546" s="384">
        <v>0</v>
      </c>
      <c r="H546" s="384">
        <v>0</v>
      </c>
      <c r="I546" s="384">
        <v>0</v>
      </c>
      <c r="J546" s="383">
        <v>9659</v>
      </c>
      <c r="K546" s="383">
        <v>9697</v>
      </c>
    </row>
    <row r="547" spans="1:11" x14ac:dyDescent="0.3">
      <c r="A547" t="s">
        <v>2223</v>
      </c>
      <c r="B547" t="s">
        <v>2603</v>
      </c>
      <c r="C547" t="s">
        <v>2729</v>
      </c>
      <c r="D547" s="383">
        <v>4776</v>
      </c>
      <c r="E547" s="384">
        <v>83686374.599999994</v>
      </c>
      <c r="F547" s="384">
        <v>0</v>
      </c>
      <c r="G547" s="384">
        <v>0</v>
      </c>
      <c r="H547" s="384">
        <v>0</v>
      </c>
      <c r="I547" s="384">
        <v>0</v>
      </c>
      <c r="J547" s="383">
        <v>4739</v>
      </c>
      <c r="K547" s="383">
        <v>4771</v>
      </c>
    </row>
    <row r="548" spans="1:11" x14ac:dyDescent="0.3">
      <c r="A548" t="s">
        <v>2223</v>
      </c>
      <c r="B548" t="s">
        <v>2603</v>
      </c>
      <c r="C548" t="s">
        <v>2730</v>
      </c>
      <c r="D548" s="383">
        <v>9189</v>
      </c>
      <c r="E548" s="384">
        <v>1628923428.03</v>
      </c>
      <c r="F548" s="384">
        <v>0</v>
      </c>
      <c r="G548" s="384">
        <v>0</v>
      </c>
      <c r="H548" s="384">
        <v>0</v>
      </c>
      <c r="I548" s="384">
        <v>0</v>
      </c>
      <c r="J548" s="383">
        <v>9149</v>
      </c>
      <c r="K548" s="383">
        <v>9178</v>
      </c>
    </row>
    <row r="549" spans="1:11" x14ac:dyDescent="0.3">
      <c r="A549" t="s">
        <v>2223</v>
      </c>
      <c r="B549" t="s">
        <v>2603</v>
      </c>
      <c r="C549" t="s">
        <v>2731</v>
      </c>
      <c r="D549" s="383">
        <v>7931</v>
      </c>
      <c r="E549" s="384">
        <v>1527552402.25</v>
      </c>
      <c r="F549" s="384">
        <v>0</v>
      </c>
      <c r="G549" s="384">
        <v>0</v>
      </c>
      <c r="H549" s="384">
        <v>0</v>
      </c>
      <c r="I549" s="384">
        <v>0</v>
      </c>
      <c r="J549" s="383">
        <v>7910</v>
      </c>
      <c r="K549" s="383">
        <v>7921</v>
      </c>
    </row>
    <row r="550" spans="1:11" x14ac:dyDescent="0.3">
      <c r="A550" t="s">
        <v>2223</v>
      </c>
      <c r="B550" t="s">
        <v>2603</v>
      </c>
      <c r="C550" t="s">
        <v>2732</v>
      </c>
      <c r="D550" s="383">
        <v>3501</v>
      </c>
      <c r="E550" s="384">
        <v>653934819.63</v>
      </c>
      <c r="F550" s="384">
        <v>0</v>
      </c>
      <c r="G550" s="384">
        <v>0</v>
      </c>
      <c r="H550" s="384">
        <v>0</v>
      </c>
      <c r="I550" s="384">
        <v>0</v>
      </c>
      <c r="J550" s="383">
        <v>3491</v>
      </c>
      <c r="K550" s="383">
        <v>3494</v>
      </c>
    </row>
    <row r="551" spans="1:11" x14ac:dyDescent="0.3">
      <c r="A551" t="s">
        <v>2223</v>
      </c>
      <c r="B551" t="s">
        <v>2603</v>
      </c>
      <c r="C551" t="s">
        <v>2733</v>
      </c>
      <c r="D551" s="383">
        <v>1989</v>
      </c>
      <c r="E551" s="384">
        <v>366102822.54000002</v>
      </c>
      <c r="F551" s="384">
        <v>0</v>
      </c>
      <c r="G551" s="384">
        <v>0</v>
      </c>
      <c r="H551" s="384">
        <v>0</v>
      </c>
      <c r="I551" s="384">
        <v>0</v>
      </c>
      <c r="J551" s="383">
        <v>1985</v>
      </c>
      <c r="K551" s="383">
        <v>1986</v>
      </c>
    </row>
    <row r="552" spans="1:11" x14ac:dyDescent="0.3">
      <c r="A552" t="s">
        <v>2223</v>
      </c>
      <c r="B552" t="s">
        <v>2603</v>
      </c>
      <c r="C552" t="s">
        <v>2734</v>
      </c>
      <c r="D552" s="383">
        <v>2072</v>
      </c>
      <c r="E552" s="384">
        <v>396398406.74000001</v>
      </c>
      <c r="F552" s="384">
        <v>0</v>
      </c>
      <c r="G552" s="384">
        <v>0</v>
      </c>
      <c r="H552" s="384">
        <v>0</v>
      </c>
      <c r="I552" s="384">
        <v>0</v>
      </c>
      <c r="J552" s="383">
        <v>2070</v>
      </c>
      <c r="K552" s="383">
        <v>2071</v>
      </c>
    </row>
    <row r="553" spans="1:11" x14ac:dyDescent="0.3">
      <c r="A553" t="s">
        <v>2223</v>
      </c>
      <c r="B553" t="s">
        <v>2603</v>
      </c>
      <c r="C553" t="s">
        <v>2735</v>
      </c>
      <c r="D553" s="383">
        <v>127</v>
      </c>
      <c r="E553" s="384">
        <v>25766919.329999998</v>
      </c>
      <c r="F553" s="384">
        <v>0</v>
      </c>
      <c r="G553" s="384">
        <v>0</v>
      </c>
      <c r="H553" s="384">
        <v>0</v>
      </c>
      <c r="I553" s="384">
        <v>0</v>
      </c>
      <c r="J553" s="383">
        <v>126</v>
      </c>
      <c r="K553" s="383">
        <v>126</v>
      </c>
    </row>
    <row r="554" spans="1:11" x14ac:dyDescent="0.3">
      <c r="A554" t="s">
        <v>2223</v>
      </c>
      <c r="B554" t="s">
        <v>2603</v>
      </c>
      <c r="C554" t="s">
        <v>2736</v>
      </c>
      <c r="D554" s="383">
        <v>31</v>
      </c>
      <c r="E554" s="384">
        <v>6660322.6100000003</v>
      </c>
      <c r="F554" s="384">
        <v>0</v>
      </c>
      <c r="G554" s="384">
        <v>0</v>
      </c>
      <c r="H554" s="384">
        <v>0</v>
      </c>
      <c r="I554" s="384">
        <v>0</v>
      </c>
      <c r="J554" s="383">
        <v>30</v>
      </c>
      <c r="K554" s="383">
        <v>30</v>
      </c>
    </row>
    <row r="555" spans="1:11" x14ac:dyDescent="0.3">
      <c r="A555" t="s">
        <v>2223</v>
      </c>
      <c r="B555" t="s">
        <v>2603</v>
      </c>
      <c r="C555" t="s">
        <v>2737</v>
      </c>
      <c r="D555" s="383">
        <v>4</v>
      </c>
      <c r="E555" s="384">
        <v>584089.78</v>
      </c>
      <c r="F555" s="384">
        <v>0</v>
      </c>
      <c r="G555" s="384">
        <v>0</v>
      </c>
      <c r="H555" s="384">
        <v>0</v>
      </c>
      <c r="I555" s="384">
        <v>0</v>
      </c>
      <c r="J555" s="383">
        <v>4</v>
      </c>
      <c r="K555" s="383">
        <v>4</v>
      </c>
    </row>
    <row r="556" spans="1:11" x14ac:dyDescent="0.3">
      <c r="A556" t="s">
        <v>2223</v>
      </c>
      <c r="B556" t="s">
        <v>2603</v>
      </c>
      <c r="C556" t="s">
        <v>2738</v>
      </c>
      <c r="D556" s="383">
        <v>5263</v>
      </c>
      <c r="E556" s="384">
        <v>138260008.40000001</v>
      </c>
      <c r="F556" s="384">
        <v>0</v>
      </c>
      <c r="G556" s="384">
        <v>0</v>
      </c>
      <c r="H556" s="384">
        <v>0</v>
      </c>
      <c r="I556" s="384">
        <v>0</v>
      </c>
      <c r="J556" s="383">
        <v>5202</v>
      </c>
      <c r="K556" s="383">
        <v>5256</v>
      </c>
    </row>
    <row r="557" spans="1:11" x14ac:dyDescent="0.3">
      <c r="A557" t="s">
        <v>2223</v>
      </c>
      <c r="B557" t="s">
        <v>2603</v>
      </c>
      <c r="C557" t="s">
        <v>2739</v>
      </c>
      <c r="D557" s="383">
        <v>5438</v>
      </c>
      <c r="E557" s="384">
        <v>189315781.88999999</v>
      </c>
      <c r="F557" s="384">
        <v>0</v>
      </c>
      <c r="G557" s="384">
        <v>0</v>
      </c>
      <c r="H557" s="384">
        <v>0</v>
      </c>
      <c r="I557" s="384">
        <v>0</v>
      </c>
      <c r="J557" s="383">
        <v>5388</v>
      </c>
      <c r="K557" s="383">
        <v>5436</v>
      </c>
    </row>
    <row r="558" spans="1:11" x14ac:dyDescent="0.3">
      <c r="A558" t="s">
        <v>2223</v>
      </c>
      <c r="B558" t="s">
        <v>2603</v>
      </c>
      <c r="C558" t="s">
        <v>2740</v>
      </c>
      <c r="D558" s="383">
        <v>7004</v>
      </c>
      <c r="E558" s="384">
        <v>293654619.77999997</v>
      </c>
      <c r="F558" s="384">
        <v>0</v>
      </c>
      <c r="G558" s="384">
        <v>0</v>
      </c>
      <c r="H558" s="384">
        <v>0</v>
      </c>
      <c r="I558" s="384">
        <v>0</v>
      </c>
      <c r="J558" s="383">
        <v>6920</v>
      </c>
      <c r="K558" s="383">
        <v>6990</v>
      </c>
    </row>
    <row r="559" spans="1:11" x14ac:dyDescent="0.3">
      <c r="A559" t="s">
        <v>2223</v>
      </c>
      <c r="B559" t="s">
        <v>2603</v>
      </c>
      <c r="C559" t="s">
        <v>2741</v>
      </c>
      <c r="D559" s="383">
        <v>7800</v>
      </c>
      <c r="E559" s="384">
        <v>392440124.39999998</v>
      </c>
      <c r="F559" s="384">
        <v>0</v>
      </c>
      <c r="G559" s="384">
        <v>0</v>
      </c>
      <c r="H559" s="384">
        <v>0</v>
      </c>
      <c r="I559" s="384">
        <v>0</v>
      </c>
      <c r="J559" s="383">
        <v>7688</v>
      </c>
      <c r="K559" s="383">
        <v>7780</v>
      </c>
    </row>
    <row r="560" spans="1:11" x14ac:dyDescent="0.3">
      <c r="A560" t="s">
        <v>2223</v>
      </c>
      <c r="B560" t="s">
        <v>2603</v>
      </c>
      <c r="C560" t="s">
        <v>2742</v>
      </c>
      <c r="D560" s="383">
        <v>7400</v>
      </c>
      <c r="E560" s="384">
        <v>436805176.74000001</v>
      </c>
      <c r="F560" s="384">
        <v>0</v>
      </c>
      <c r="G560" s="384">
        <v>0</v>
      </c>
      <c r="H560" s="384">
        <v>0</v>
      </c>
      <c r="I560" s="384">
        <v>0</v>
      </c>
      <c r="J560" s="383">
        <v>7311</v>
      </c>
      <c r="K560" s="383">
        <v>7375</v>
      </c>
    </row>
    <row r="561" spans="1:11" x14ac:dyDescent="0.3">
      <c r="A561" t="s">
        <v>2223</v>
      </c>
      <c r="B561" t="s">
        <v>2603</v>
      </c>
      <c r="C561" t="s">
        <v>2743</v>
      </c>
      <c r="D561" s="383">
        <v>7325</v>
      </c>
      <c r="E561" s="384">
        <v>479992735.17000002</v>
      </c>
      <c r="F561" s="384">
        <v>0</v>
      </c>
      <c r="G561" s="384">
        <v>0</v>
      </c>
      <c r="H561" s="384">
        <v>0</v>
      </c>
      <c r="I561" s="384">
        <v>0</v>
      </c>
      <c r="J561" s="383">
        <v>7230</v>
      </c>
      <c r="K561" s="383">
        <v>7298</v>
      </c>
    </row>
    <row r="562" spans="1:11" x14ac:dyDescent="0.3">
      <c r="A562" t="s">
        <v>2223</v>
      </c>
      <c r="B562" t="s">
        <v>2603</v>
      </c>
      <c r="C562" t="s">
        <v>2744</v>
      </c>
      <c r="D562" s="383">
        <v>8296</v>
      </c>
      <c r="E562" s="384">
        <v>623555348.22000003</v>
      </c>
      <c r="F562" s="384">
        <v>0</v>
      </c>
      <c r="G562" s="384">
        <v>0</v>
      </c>
      <c r="H562" s="384">
        <v>0</v>
      </c>
      <c r="I562" s="384">
        <v>0</v>
      </c>
      <c r="J562" s="383">
        <v>8209</v>
      </c>
      <c r="K562" s="383">
        <v>8281</v>
      </c>
    </row>
    <row r="563" spans="1:11" x14ac:dyDescent="0.3">
      <c r="A563" t="s">
        <v>2223</v>
      </c>
      <c r="B563" t="s">
        <v>2745</v>
      </c>
      <c r="C563" t="s">
        <v>2746</v>
      </c>
      <c r="D563" s="383">
        <v>517837</v>
      </c>
      <c r="E563" s="384">
        <v>39564132380.510002</v>
      </c>
      <c r="F563" s="384">
        <v>0</v>
      </c>
      <c r="G563" s="384">
        <v>0</v>
      </c>
      <c r="H563" s="384">
        <v>0</v>
      </c>
      <c r="I563" s="384">
        <v>0</v>
      </c>
      <c r="J563" s="383">
        <v>437408</v>
      </c>
      <c r="K563" s="383">
        <v>460614</v>
      </c>
    </row>
    <row r="564" spans="1:11" x14ac:dyDescent="0.3">
      <c r="A564" t="s">
        <v>2223</v>
      </c>
      <c r="B564" t="s">
        <v>2745</v>
      </c>
      <c r="C564" t="s">
        <v>2747</v>
      </c>
      <c r="D564" s="383">
        <v>78618</v>
      </c>
      <c r="E564" s="384">
        <v>11903049967.25</v>
      </c>
      <c r="F564" s="384">
        <v>0</v>
      </c>
      <c r="G564" s="384">
        <v>0</v>
      </c>
      <c r="H564" s="384">
        <v>0</v>
      </c>
      <c r="I564" s="384">
        <v>0</v>
      </c>
      <c r="J564" s="383">
        <v>76114</v>
      </c>
      <c r="K564" s="383">
        <v>77020</v>
      </c>
    </row>
    <row r="565" spans="1:11" x14ac:dyDescent="0.3">
      <c r="A565" t="s">
        <v>2223</v>
      </c>
      <c r="B565" t="s">
        <v>2745</v>
      </c>
      <c r="C565" t="s">
        <v>2748</v>
      </c>
      <c r="D565" s="383">
        <v>1743</v>
      </c>
      <c r="E565" s="384">
        <v>88149869.959999993</v>
      </c>
      <c r="F565" s="384">
        <v>0</v>
      </c>
      <c r="G565" s="384">
        <v>0</v>
      </c>
      <c r="H565" s="384">
        <v>0</v>
      </c>
      <c r="I565" s="384">
        <v>0</v>
      </c>
      <c r="J565" s="383">
        <v>1642</v>
      </c>
      <c r="K565" s="383">
        <v>1695</v>
      </c>
    </row>
    <row r="566" spans="1:11" x14ac:dyDescent="0.3">
      <c r="A566" t="s">
        <v>2223</v>
      </c>
      <c r="B566" t="s">
        <v>2745</v>
      </c>
      <c r="C566" t="s">
        <v>2749</v>
      </c>
      <c r="D566" s="383">
        <v>46</v>
      </c>
      <c r="E566" s="384">
        <v>7764356.7400000002</v>
      </c>
      <c r="F566" s="384">
        <v>0</v>
      </c>
      <c r="G566" s="384">
        <v>0</v>
      </c>
      <c r="H566" s="384">
        <v>0</v>
      </c>
      <c r="I566" s="384">
        <v>0</v>
      </c>
      <c r="J566" s="383">
        <v>45</v>
      </c>
      <c r="K566" s="383">
        <v>46</v>
      </c>
    </row>
    <row r="567" spans="1:11" x14ac:dyDescent="0.3">
      <c r="A567" t="s">
        <v>2223</v>
      </c>
      <c r="B567" t="s">
        <v>2745</v>
      </c>
      <c r="C567" t="s">
        <v>2750</v>
      </c>
      <c r="D567" s="383">
        <v>23156</v>
      </c>
      <c r="E567" s="384">
        <v>822967684.79999995</v>
      </c>
      <c r="F567" s="384">
        <v>0</v>
      </c>
      <c r="G567" s="384">
        <v>0</v>
      </c>
      <c r="H567" s="384">
        <v>0</v>
      </c>
      <c r="I567" s="384">
        <v>0</v>
      </c>
      <c r="J567" s="383">
        <v>18997</v>
      </c>
      <c r="K567" s="383">
        <v>19161</v>
      </c>
    </row>
    <row r="568" spans="1:11" x14ac:dyDescent="0.3">
      <c r="A568" t="s">
        <v>2223</v>
      </c>
      <c r="B568" t="s">
        <v>2745</v>
      </c>
      <c r="C568" t="s">
        <v>2751</v>
      </c>
      <c r="D568" s="383">
        <v>1288</v>
      </c>
      <c r="E568" s="384">
        <v>155797382.25999999</v>
      </c>
      <c r="F568" s="384">
        <v>0</v>
      </c>
      <c r="G568" s="384">
        <v>0</v>
      </c>
      <c r="H568" s="384">
        <v>0</v>
      </c>
      <c r="I568" s="384">
        <v>0</v>
      </c>
      <c r="J568" s="383">
        <v>1273</v>
      </c>
      <c r="K568" s="383">
        <v>1273</v>
      </c>
    </row>
    <row r="569" spans="1:11" x14ac:dyDescent="0.3">
      <c r="A569" t="s">
        <v>2223</v>
      </c>
      <c r="B569" t="s">
        <v>2745</v>
      </c>
      <c r="C569" t="s">
        <v>2752</v>
      </c>
      <c r="D569" s="383">
        <v>151360</v>
      </c>
      <c r="E569" s="384">
        <v>11180505423.610001</v>
      </c>
      <c r="F569" s="384">
        <v>0</v>
      </c>
      <c r="G569" s="384">
        <v>0</v>
      </c>
      <c r="H569" s="384">
        <v>0</v>
      </c>
      <c r="I569" s="384">
        <v>0</v>
      </c>
      <c r="J569" s="383">
        <v>133951</v>
      </c>
      <c r="K569" s="383">
        <v>139627</v>
      </c>
    </row>
    <row r="570" spans="1:11" x14ac:dyDescent="0.3">
      <c r="A570" t="s">
        <v>2223</v>
      </c>
      <c r="B570" t="s">
        <v>2745</v>
      </c>
      <c r="C570" t="s">
        <v>2753</v>
      </c>
      <c r="D570" s="383">
        <v>27322</v>
      </c>
      <c r="E570" s="384">
        <v>4266907062.6399999</v>
      </c>
      <c r="F570" s="384">
        <v>0</v>
      </c>
      <c r="G570" s="384">
        <v>0</v>
      </c>
      <c r="H570" s="384">
        <v>0</v>
      </c>
      <c r="I570" s="384">
        <v>0</v>
      </c>
      <c r="J570" s="383">
        <v>25904</v>
      </c>
      <c r="K570" s="383">
        <v>26534</v>
      </c>
    </row>
    <row r="571" spans="1:11" x14ac:dyDescent="0.3">
      <c r="A571" t="s">
        <v>2223</v>
      </c>
      <c r="B571" t="s">
        <v>2745</v>
      </c>
      <c r="C571" t="s">
        <v>2754</v>
      </c>
      <c r="D571" s="383">
        <v>145612</v>
      </c>
      <c r="E571" s="384">
        <v>13454001311.83</v>
      </c>
      <c r="F571" s="384">
        <v>0</v>
      </c>
      <c r="G571" s="384">
        <v>0</v>
      </c>
      <c r="H571" s="384">
        <v>0</v>
      </c>
      <c r="I571" s="384">
        <v>0</v>
      </c>
      <c r="J571" s="383">
        <v>135353</v>
      </c>
      <c r="K571" s="383">
        <v>141488</v>
      </c>
    </row>
    <row r="572" spans="1:11" x14ac:dyDescent="0.3">
      <c r="A572" t="s">
        <v>2223</v>
      </c>
      <c r="B572" t="s">
        <v>2745</v>
      </c>
      <c r="C572" t="s">
        <v>2755</v>
      </c>
      <c r="D572" s="383">
        <v>24242</v>
      </c>
      <c r="E572" s="384">
        <v>3832791033.4400001</v>
      </c>
      <c r="F572" s="384">
        <v>0</v>
      </c>
      <c r="G572" s="384">
        <v>0</v>
      </c>
      <c r="H572" s="384">
        <v>0</v>
      </c>
      <c r="I572" s="384">
        <v>0</v>
      </c>
      <c r="J572" s="383">
        <v>23623</v>
      </c>
      <c r="K572" s="383">
        <v>23875</v>
      </c>
    </row>
    <row r="573" spans="1:11" x14ac:dyDescent="0.3">
      <c r="A573" t="s">
        <v>2223</v>
      </c>
      <c r="B573" t="s">
        <v>2756</v>
      </c>
      <c r="C573" t="s">
        <v>2746</v>
      </c>
      <c r="D573" s="383">
        <v>517837</v>
      </c>
      <c r="E573" s="384">
        <v>0</v>
      </c>
      <c r="F573" s="384">
        <v>0</v>
      </c>
      <c r="G573" s="384">
        <v>0</v>
      </c>
      <c r="H573" s="384">
        <v>0</v>
      </c>
      <c r="I573" s="384">
        <v>0</v>
      </c>
      <c r="J573" s="383">
        <v>437408</v>
      </c>
      <c r="K573" s="383">
        <v>460614</v>
      </c>
    </row>
    <row r="574" spans="1:11" x14ac:dyDescent="0.3">
      <c r="A574" t="s">
        <v>2223</v>
      </c>
      <c r="B574" t="s">
        <v>2756</v>
      </c>
      <c r="C574" t="s">
        <v>2747</v>
      </c>
      <c r="D574" s="383">
        <v>78618</v>
      </c>
      <c r="E574" s="384">
        <v>0</v>
      </c>
      <c r="F574" s="384">
        <v>0</v>
      </c>
      <c r="G574" s="384">
        <v>0</v>
      </c>
      <c r="H574" s="384">
        <v>0</v>
      </c>
      <c r="I574" s="384">
        <v>0</v>
      </c>
      <c r="J574" s="383">
        <v>76114</v>
      </c>
      <c r="K574" s="383">
        <v>77020</v>
      </c>
    </row>
    <row r="575" spans="1:11" x14ac:dyDescent="0.3">
      <c r="A575" t="s">
        <v>2223</v>
      </c>
      <c r="B575" t="s">
        <v>2756</v>
      </c>
      <c r="C575" t="s">
        <v>2748</v>
      </c>
      <c r="D575" s="383">
        <v>1743</v>
      </c>
      <c r="E575" s="384">
        <v>0</v>
      </c>
      <c r="F575" s="384">
        <v>0</v>
      </c>
      <c r="G575" s="384">
        <v>0</v>
      </c>
      <c r="H575" s="384">
        <v>0</v>
      </c>
      <c r="I575" s="384">
        <v>0</v>
      </c>
      <c r="J575" s="383">
        <v>1642</v>
      </c>
      <c r="K575" s="383">
        <v>1695</v>
      </c>
    </row>
    <row r="576" spans="1:11" x14ac:dyDescent="0.3">
      <c r="A576" t="s">
        <v>2223</v>
      </c>
      <c r="B576" t="s">
        <v>2756</v>
      </c>
      <c r="C576" t="s">
        <v>2749</v>
      </c>
      <c r="D576" s="383">
        <v>46</v>
      </c>
      <c r="E576" s="384">
        <v>0</v>
      </c>
      <c r="F576" s="384">
        <v>0</v>
      </c>
      <c r="G576" s="384">
        <v>0</v>
      </c>
      <c r="H576" s="384">
        <v>0</v>
      </c>
      <c r="I576" s="384">
        <v>0</v>
      </c>
      <c r="J576" s="383">
        <v>45</v>
      </c>
      <c r="K576" s="383">
        <v>46</v>
      </c>
    </row>
    <row r="577" spans="1:11" x14ac:dyDescent="0.3">
      <c r="A577" t="s">
        <v>2223</v>
      </c>
      <c r="B577" t="s">
        <v>2756</v>
      </c>
      <c r="C577" t="s">
        <v>2750</v>
      </c>
      <c r="D577" s="383">
        <v>23156</v>
      </c>
      <c r="E577" s="384">
        <v>0</v>
      </c>
      <c r="F577" s="384">
        <v>0</v>
      </c>
      <c r="G577" s="384">
        <v>0</v>
      </c>
      <c r="H577" s="384">
        <v>0</v>
      </c>
      <c r="I577" s="384">
        <v>0</v>
      </c>
      <c r="J577" s="383">
        <v>18997</v>
      </c>
      <c r="K577" s="383">
        <v>19161</v>
      </c>
    </row>
    <row r="578" spans="1:11" x14ac:dyDescent="0.3">
      <c r="A578" t="s">
        <v>2223</v>
      </c>
      <c r="B578" t="s">
        <v>2756</v>
      </c>
      <c r="C578" t="s">
        <v>2751</v>
      </c>
      <c r="D578" s="383">
        <v>1288</v>
      </c>
      <c r="E578" s="384">
        <v>7298561.4400000004</v>
      </c>
      <c r="F578" s="384">
        <v>0</v>
      </c>
      <c r="G578" s="384">
        <v>0</v>
      </c>
      <c r="H578" s="384">
        <v>0</v>
      </c>
      <c r="I578" s="384">
        <v>0</v>
      </c>
      <c r="J578" s="383">
        <v>1273</v>
      </c>
      <c r="K578" s="383">
        <v>1273</v>
      </c>
    </row>
    <row r="579" spans="1:11" x14ac:dyDescent="0.3">
      <c r="A579" t="s">
        <v>2223</v>
      </c>
      <c r="B579" t="s">
        <v>2756</v>
      </c>
      <c r="C579" t="s">
        <v>2752</v>
      </c>
      <c r="D579" s="383">
        <v>151360</v>
      </c>
      <c r="E579" s="384">
        <v>0</v>
      </c>
      <c r="F579" s="384">
        <v>0</v>
      </c>
      <c r="G579" s="384">
        <v>0</v>
      </c>
      <c r="H579" s="384">
        <v>0</v>
      </c>
      <c r="I579" s="384">
        <v>0</v>
      </c>
      <c r="J579" s="383">
        <v>133951</v>
      </c>
      <c r="K579" s="383">
        <v>139627</v>
      </c>
    </row>
    <row r="580" spans="1:11" x14ac:dyDescent="0.3">
      <c r="A580" t="s">
        <v>2223</v>
      </c>
      <c r="B580" t="s">
        <v>2756</v>
      </c>
      <c r="C580" t="s">
        <v>2753</v>
      </c>
      <c r="D580" s="383">
        <v>27322</v>
      </c>
      <c r="E580" s="384">
        <v>0</v>
      </c>
      <c r="F580" s="384">
        <v>0</v>
      </c>
      <c r="G580" s="384">
        <v>0</v>
      </c>
      <c r="H580" s="384">
        <v>0</v>
      </c>
      <c r="I580" s="384">
        <v>0</v>
      </c>
      <c r="J580" s="383">
        <v>25904</v>
      </c>
      <c r="K580" s="383">
        <v>26534</v>
      </c>
    </row>
    <row r="581" spans="1:11" x14ac:dyDescent="0.3">
      <c r="A581" t="s">
        <v>2223</v>
      </c>
      <c r="B581" t="s">
        <v>2756</v>
      </c>
      <c r="C581" t="s">
        <v>2754</v>
      </c>
      <c r="D581" s="383">
        <v>145612</v>
      </c>
      <c r="E581" s="384">
        <v>0</v>
      </c>
      <c r="F581" s="384">
        <v>0</v>
      </c>
      <c r="G581" s="384">
        <v>0</v>
      </c>
      <c r="H581" s="384">
        <v>0</v>
      </c>
      <c r="I581" s="384">
        <v>0</v>
      </c>
      <c r="J581" s="383">
        <v>135353</v>
      </c>
      <c r="K581" s="383">
        <v>141488</v>
      </c>
    </row>
    <row r="582" spans="1:11" x14ac:dyDescent="0.3">
      <c r="A582" t="s">
        <v>2223</v>
      </c>
      <c r="B582" t="s">
        <v>2756</v>
      </c>
      <c r="C582" t="s">
        <v>2755</v>
      </c>
      <c r="D582" s="383">
        <v>24242</v>
      </c>
      <c r="E582" s="384">
        <v>0</v>
      </c>
      <c r="F582" s="384">
        <v>0</v>
      </c>
      <c r="G582" s="384">
        <v>0</v>
      </c>
      <c r="H582" s="384">
        <v>0</v>
      </c>
      <c r="I582" s="384">
        <v>0</v>
      </c>
      <c r="J582" s="383">
        <v>23623</v>
      </c>
      <c r="K582" s="383">
        <v>23875</v>
      </c>
    </row>
    <row r="583" spans="1:11" x14ac:dyDescent="0.3">
      <c r="A583" t="s">
        <v>2223</v>
      </c>
      <c r="B583" t="s">
        <v>2757</v>
      </c>
      <c r="C583" t="s">
        <v>2746</v>
      </c>
      <c r="D583" s="383">
        <v>517837</v>
      </c>
      <c r="E583" s="384">
        <v>39564132380.510002</v>
      </c>
      <c r="F583" s="384">
        <v>0</v>
      </c>
      <c r="G583" s="384">
        <v>0</v>
      </c>
      <c r="H583" s="384">
        <v>0</v>
      </c>
      <c r="I583" s="384">
        <v>0</v>
      </c>
      <c r="J583" s="383">
        <v>437408</v>
      </c>
      <c r="K583" s="383">
        <v>460614</v>
      </c>
    </row>
    <row r="584" spans="1:11" x14ac:dyDescent="0.3">
      <c r="A584" t="s">
        <v>2223</v>
      </c>
      <c r="B584" t="s">
        <v>2757</v>
      </c>
      <c r="C584" t="s">
        <v>2747</v>
      </c>
      <c r="D584" s="383">
        <v>78618</v>
      </c>
      <c r="E584" s="384">
        <v>10787097144</v>
      </c>
      <c r="F584" s="384">
        <v>0</v>
      </c>
      <c r="G584" s="384">
        <v>0</v>
      </c>
      <c r="H584" s="384">
        <v>0</v>
      </c>
      <c r="I584" s="384">
        <v>0</v>
      </c>
      <c r="J584" s="383">
        <v>76114</v>
      </c>
      <c r="K584" s="383">
        <v>77020</v>
      </c>
    </row>
    <row r="585" spans="1:11" x14ac:dyDescent="0.3">
      <c r="A585" t="s">
        <v>2223</v>
      </c>
      <c r="B585" t="s">
        <v>2757</v>
      </c>
      <c r="C585" t="s">
        <v>2748</v>
      </c>
      <c r="D585" s="383">
        <v>1743</v>
      </c>
      <c r="E585" s="384">
        <v>88149869.959999993</v>
      </c>
      <c r="F585" s="384">
        <v>0</v>
      </c>
      <c r="G585" s="384">
        <v>0</v>
      </c>
      <c r="H585" s="384">
        <v>0</v>
      </c>
      <c r="I585" s="384">
        <v>0</v>
      </c>
      <c r="J585" s="383">
        <v>1642</v>
      </c>
      <c r="K585" s="383">
        <v>1695</v>
      </c>
    </row>
    <row r="586" spans="1:11" x14ac:dyDescent="0.3">
      <c r="A586" t="s">
        <v>2223</v>
      </c>
      <c r="B586" t="s">
        <v>2757</v>
      </c>
      <c r="C586" t="s">
        <v>2749</v>
      </c>
      <c r="D586" s="383">
        <v>46</v>
      </c>
      <c r="E586" s="384">
        <v>6863765.8799999999</v>
      </c>
      <c r="F586" s="384">
        <v>0</v>
      </c>
      <c r="G586" s="384">
        <v>0</v>
      </c>
      <c r="H586" s="384">
        <v>0</v>
      </c>
      <c r="I586" s="384">
        <v>0</v>
      </c>
      <c r="J586" s="383">
        <v>45</v>
      </c>
      <c r="K586" s="383">
        <v>46</v>
      </c>
    </row>
    <row r="587" spans="1:11" x14ac:dyDescent="0.3">
      <c r="A587" t="s">
        <v>2223</v>
      </c>
      <c r="B587" t="s">
        <v>2757</v>
      </c>
      <c r="C587" t="s">
        <v>2750</v>
      </c>
      <c r="D587" s="383">
        <v>23156</v>
      </c>
      <c r="E587" s="384">
        <v>822967684.79999995</v>
      </c>
      <c r="F587" s="384">
        <v>0</v>
      </c>
      <c r="G587" s="384">
        <v>0</v>
      </c>
      <c r="H587" s="384">
        <v>0</v>
      </c>
      <c r="I587" s="384">
        <v>0</v>
      </c>
      <c r="J587" s="383">
        <v>18997</v>
      </c>
      <c r="K587" s="383">
        <v>19161</v>
      </c>
    </row>
    <row r="588" spans="1:11" x14ac:dyDescent="0.3">
      <c r="A588" t="s">
        <v>2223</v>
      </c>
      <c r="B588" t="s">
        <v>2757</v>
      </c>
      <c r="C588" t="s">
        <v>2751</v>
      </c>
      <c r="D588" s="383">
        <v>1288</v>
      </c>
      <c r="E588" s="384">
        <v>148496879.06</v>
      </c>
      <c r="F588" s="384">
        <v>0</v>
      </c>
      <c r="G588" s="384">
        <v>0</v>
      </c>
      <c r="H588" s="384">
        <v>0</v>
      </c>
      <c r="I588" s="384">
        <v>0</v>
      </c>
      <c r="J588" s="383">
        <v>1273</v>
      </c>
      <c r="K588" s="383">
        <v>1273</v>
      </c>
    </row>
    <row r="589" spans="1:11" x14ac:dyDescent="0.3">
      <c r="A589" t="s">
        <v>2223</v>
      </c>
      <c r="B589" t="s">
        <v>2757</v>
      </c>
      <c r="C589" t="s">
        <v>2752</v>
      </c>
      <c r="D589" s="383">
        <v>151360</v>
      </c>
      <c r="E589" s="384">
        <v>11180505423.610001</v>
      </c>
      <c r="F589" s="384">
        <v>0</v>
      </c>
      <c r="G589" s="384">
        <v>0</v>
      </c>
      <c r="H589" s="384">
        <v>0</v>
      </c>
      <c r="I589" s="384">
        <v>0</v>
      </c>
      <c r="J589" s="383">
        <v>133951</v>
      </c>
      <c r="K589" s="383">
        <v>139627</v>
      </c>
    </row>
    <row r="590" spans="1:11" x14ac:dyDescent="0.3">
      <c r="A590" t="s">
        <v>2223</v>
      </c>
      <c r="B590" t="s">
        <v>2757</v>
      </c>
      <c r="C590" t="s">
        <v>2753</v>
      </c>
      <c r="D590" s="383">
        <v>27322</v>
      </c>
      <c r="E590" s="384">
        <v>3810578377.3499999</v>
      </c>
      <c r="F590" s="384">
        <v>0</v>
      </c>
      <c r="G590" s="384">
        <v>0</v>
      </c>
      <c r="H590" s="384">
        <v>0</v>
      </c>
      <c r="I590" s="384">
        <v>0</v>
      </c>
      <c r="J590" s="383">
        <v>25904</v>
      </c>
      <c r="K590" s="383">
        <v>26534</v>
      </c>
    </row>
    <row r="591" spans="1:11" x14ac:dyDescent="0.3">
      <c r="A591" t="s">
        <v>2223</v>
      </c>
      <c r="B591" t="s">
        <v>2757</v>
      </c>
      <c r="C591" t="s">
        <v>2754</v>
      </c>
      <c r="D591" s="383">
        <v>145612</v>
      </c>
      <c r="E591" s="384">
        <v>13454001311.83</v>
      </c>
      <c r="F591" s="384">
        <v>0</v>
      </c>
      <c r="G591" s="384">
        <v>0</v>
      </c>
      <c r="H591" s="384">
        <v>0</v>
      </c>
      <c r="I591" s="384">
        <v>0</v>
      </c>
      <c r="J591" s="383">
        <v>135353</v>
      </c>
      <c r="K591" s="383">
        <v>141488</v>
      </c>
    </row>
    <row r="592" spans="1:11" x14ac:dyDescent="0.3">
      <c r="A592" t="s">
        <v>2223</v>
      </c>
      <c r="B592" t="s">
        <v>2757</v>
      </c>
      <c r="C592" t="s">
        <v>2755</v>
      </c>
      <c r="D592" s="383">
        <v>24242</v>
      </c>
      <c r="E592" s="384">
        <v>3497195241.9699998</v>
      </c>
      <c r="F592" s="384">
        <v>0</v>
      </c>
      <c r="G592" s="384">
        <v>0</v>
      </c>
      <c r="H592" s="384">
        <v>0</v>
      </c>
      <c r="I592" s="384">
        <v>0</v>
      </c>
      <c r="J592" s="383">
        <v>23623</v>
      </c>
      <c r="K592" s="383">
        <v>23875</v>
      </c>
    </row>
    <row r="593" spans="1:11" x14ac:dyDescent="0.3">
      <c r="A593" t="s">
        <v>2223</v>
      </c>
      <c r="B593" t="s">
        <v>2758</v>
      </c>
      <c r="C593" t="s">
        <v>2746</v>
      </c>
      <c r="D593" s="383">
        <v>517837</v>
      </c>
      <c r="E593" s="384">
        <v>93427602235.729996</v>
      </c>
      <c r="F593" s="384">
        <v>0</v>
      </c>
      <c r="G593" s="384">
        <v>0</v>
      </c>
      <c r="H593" s="384">
        <v>0</v>
      </c>
      <c r="I593" s="384">
        <v>0</v>
      </c>
      <c r="J593" s="383">
        <v>437408</v>
      </c>
      <c r="K593" s="383">
        <v>460614</v>
      </c>
    </row>
    <row r="594" spans="1:11" x14ac:dyDescent="0.3">
      <c r="A594" t="s">
        <v>2223</v>
      </c>
      <c r="B594" t="s">
        <v>2758</v>
      </c>
      <c r="C594" t="s">
        <v>2747</v>
      </c>
      <c r="D594" s="383">
        <v>78618</v>
      </c>
      <c r="E594" s="384">
        <v>13483871430</v>
      </c>
      <c r="F594" s="384">
        <v>0</v>
      </c>
      <c r="G594" s="384">
        <v>0</v>
      </c>
      <c r="H594" s="384">
        <v>0</v>
      </c>
      <c r="I594" s="384">
        <v>0</v>
      </c>
      <c r="J594" s="383">
        <v>76114</v>
      </c>
      <c r="K594" s="383">
        <v>77020</v>
      </c>
    </row>
    <row r="595" spans="1:11" x14ac:dyDescent="0.3">
      <c r="A595" t="s">
        <v>2223</v>
      </c>
      <c r="B595" t="s">
        <v>2758</v>
      </c>
      <c r="C595" t="s">
        <v>2748</v>
      </c>
      <c r="D595" s="383">
        <v>1743</v>
      </c>
      <c r="E595" s="384">
        <v>338292159.43000001</v>
      </c>
      <c r="F595" s="384">
        <v>0</v>
      </c>
      <c r="G595" s="384">
        <v>0</v>
      </c>
      <c r="H595" s="384">
        <v>0</v>
      </c>
      <c r="I595" s="384">
        <v>0</v>
      </c>
      <c r="J595" s="383">
        <v>1642</v>
      </c>
      <c r="K595" s="383">
        <v>1695</v>
      </c>
    </row>
    <row r="596" spans="1:11" x14ac:dyDescent="0.3">
      <c r="A596" t="s">
        <v>2223</v>
      </c>
      <c r="B596" t="s">
        <v>2758</v>
      </c>
      <c r="C596" t="s">
        <v>2749</v>
      </c>
      <c r="D596" s="383">
        <v>46</v>
      </c>
      <c r="E596" s="384">
        <v>8579707.3499999996</v>
      </c>
      <c r="F596" s="384">
        <v>0</v>
      </c>
      <c r="G596" s="384">
        <v>0</v>
      </c>
      <c r="H596" s="384">
        <v>0</v>
      </c>
      <c r="I596" s="384">
        <v>0</v>
      </c>
      <c r="J596" s="383">
        <v>45</v>
      </c>
      <c r="K596" s="383">
        <v>46</v>
      </c>
    </row>
    <row r="597" spans="1:11" x14ac:dyDescent="0.3">
      <c r="A597" t="s">
        <v>2223</v>
      </c>
      <c r="B597" t="s">
        <v>2758</v>
      </c>
      <c r="C597" t="s">
        <v>2750</v>
      </c>
      <c r="D597" s="383">
        <v>23156</v>
      </c>
      <c r="E597" s="384">
        <v>3056379941.5300002</v>
      </c>
      <c r="F597" s="384">
        <v>0</v>
      </c>
      <c r="G597" s="384">
        <v>0</v>
      </c>
      <c r="H597" s="384">
        <v>0</v>
      </c>
      <c r="I597" s="384">
        <v>0</v>
      </c>
      <c r="J597" s="383">
        <v>18997</v>
      </c>
      <c r="K597" s="383">
        <v>19161</v>
      </c>
    </row>
    <row r="598" spans="1:11" x14ac:dyDescent="0.3">
      <c r="A598" t="s">
        <v>2223</v>
      </c>
      <c r="B598" t="s">
        <v>2758</v>
      </c>
      <c r="C598" t="s">
        <v>2751</v>
      </c>
      <c r="D598" s="383">
        <v>1288</v>
      </c>
      <c r="E598" s="384">
        <v>176500324.22</v>
      </c>
      <c r="F598" s="384">
        <v>0</v>
      </c>
      <c r="G598" s="384">
        <v>0</v>
      </c>
      <c r="H598" s="384">
        <v>0</v>
      </c>
      <c r="I598" s="384">
        <v>0</v>
      </c>
      <c r="J598" s="383">
        <v>1273</v>
      </c>
      <c r="K598" s="383">
        <v>1273</v>
      </c>
    </row>
    <row r="599" spans="1:11" x14ac:dyDescent="0.3">
      <c r="A599" t="s">
        <v>2223</v>
      </c>
      <c r="B599" t="s">
        <v>2758</v>
      </c>
      <c r="C599" t="s">
        <v>2752</v>
      </c>
      <c r="D599" s="383">
        <v>151360</v>
      </c>
      <c r="E599" s="384">
        <v>29580675690.939999</v>
      </c>
      <c r="F599" s="384">
        <v>0</v>
      </c>
      <c r="G599" s="384">
        <v>0</v>
      </c>
      <c r="H599" s="384">
        <v>0</v>
      </c>
      <c r="I599" s="384">
        <v>0</v>
      </c>
      <c r="J599" s="383">
        <v>133951</v>
      </c>
      <c r="K599" s="383">
        <v>139627</v>
      </c>
    </row>
    <row r="600" spans="1:11" x14ac:dyDescent="0.3">
      <c r="A600" t="s">
        <v>2223</v>
      </c>
      <c r="B600" t="s">
        <v>2758</v>
      </c>
      <c r="C600" t="s">
        <v>2753</v>
      </c>
      <c r="D600" s="383">
        <v>27322</v>
      </c>
      <c r="E600" s="384">
        <v>4763222971.6899996</v>
      </c>
      <c r="F600" s="384">
        <v>0</v>
      </c>
      <c r="G600" s="384">
        <v>0</v>
      </c>
      <c r="H600" s="384">
        <v>0</v>
      </c>
      <c r="I600" s="384">
        <v>0</v>
      </c>
      <c r="J600" s="383">
        <v>25904</v>
      </c>
      <c r="K600" s="383">
        <v>26534</v>
      </c>
    </row>
    <row r="601" spans="1:11" x14ac:dyDescent="0.3">
      <c r="A601" t="s">
        <v>2223</v>
      </c>
      <c r="B601" t="s">
        <v>2758</v>
      </c>
      <c r="C601" t="s">
        <v>2754</v>
      </c>
      <c r="D601" s="383">
        <v>145612</v>
      </c>
      <c r="E601" s="384">
        <v>29662549319.189999</v>
      </c>
      <c r="F601" s="384">
        <v>0</v>
      </c>
      <c r="G601" s="384">
        <v>0</v>
      </c>
      <c r="H601" s="384">
        <v>0</v>
      </c>
      <c r="I601" s="384">
        <v>0</v>
      </c>
      <c r="J601" s="383">
        <v>135353</v>
      </c>
      <c r="K601" s="383">
        <v>141488</v>
      </c>
    </row>
    <row r="602" spans="1:11" x14ac:dyDescent="0.3">
      <c r="A602" t="s">
        <v>2223</v>
      </c>
      <c r="B602" t="s">
        <v>2758</v>
      </c>
      <c r="C602" t="s">
        <v>2755</v>
      </c>
      <c r="D602" s="383">
        <v>24242</v>
      </c>
      <c r="E602" s="384">
        <v>4371494052.46</v>
      </c>
      <c r="F602" s="384">
        <v>0</v>
      </c>
      <c r="G602" s="384">
        <v>0</v>
      </c>
      <c r="H602" s="384">
        <v>0</v>
      </c>
      <c r="I602" s="384">
        <v>0</v>
      </c>
      <c r="J602" s="383">
        <v>23623</v>
      </c>
      <c r="K602" s="383">
        <v>23875</v>
      </c>
    </row>
    <row r="603" spans="1:11" x14ac:dyDescent="0.3">
      <c r="A603" t="s">
        <v>2225</v>
      </c>
      <c r="B603" t="s">
        <v>2759</v>
      </c>
      <c r="C603" t="s">
        <v>2760</v>
      </c>
      <c r="D603" s="383">
        <v>13602</v>
      </c>
      <c r="E603" s="384">
        <v>2028115706</v>
      </c>
      <c r="F603" s="384">
        <v>0</v>
      </c>
      <c r="G603" s="384">
        <v>0</v>
      </c>
      <c r="H603" s="384">
        <v>0</v>
      </c>
      <c r="I603" s="384">
        <v>0</v>
      </c>
      <c r="J603" s="383">
        <v>12713</v>
      </c>
      <c r="K603" s="383">
        <v>12774</v>
      </c>
    </row>
    <row r="604" spans="1:11" x14ac:dyDescent="0.3">
      <c r="A604" t="s">
        <v>2223</v>
      </c>
      <c r="B604" t="s">
        <v>2759</v>
      </c>
      <c r="C604" t="s">
        <v>2760</v>
      </c>
      <c r="D604" s="383">
        <v>111366</v>
      </c>
      <c r="E604" s="384">
        <v>14743447520.35</v>
      </c>
      <c r="F604" s="384">
        <v>0</v>
      </c>
      <c r="G604" s="384">
        <v>0</v>
      </c>
      <c r="H604" s="384">
        <v>0</v>
      </c>
      <c r="I604" s="384">
        <v>0</v>
      </c>
      <c r="J604" s="383">
        <v>101957</v>
      </c>
      <c r="K604" s="383">
        <v>107198</v>
      </c>
    </row>
    <row r="605" spans="1:11" x14ac:dyDescent="0.3">
      <c r="A605" t="s">
        <v>2223</v>
      </c>
      <c r="B605" t="s">
        <v>2759</v>
      </c>
      <c r="C605" t="s">
        <v>2761</v>
      </c>
      <c r="D605" s="383">
        <v>35266</v>
      </c>
      <c r="E605" s="384">
        <v>2742012219.5599999</v>
      </c>
      <c r="F605" s="384">
        <v>0</v>
      </c>
      <c r="G605" s="384">
        <v>0</v>
      </c>
      <c r="H605" s="384">
        <v>0</v>
      </c>
      <c r="I605" s="384">
        <v>0</v>
      </c>
      <c r="J605" s="383">
        <v>31116</v>
      </c>
      <c r="K605" s="383">
        <v>32393</v>
      </c>
    </row>
    <row r="606" spans="1:11" x14ac:dyDescent="0.3">
      <c r="A606" t="s">
        <v>2225</v>
      </c>
      <c r="B606" t="s">
        <v>2759</v>
      </c>
      <c r="C606" t="s">
        <v>2761</v>
      </c>
      <c r="D606" s="383">
        <v>4237</v>
      </c>
      <c r="E606" s="384">
        <v>465868775.74000001</v>
      </c>
      <c r="F606" s="384">
        <v>0</v>
      </c>
      <c r="G606" s="384">
        <v>0</v>
      </c>
      <c r="H606" s="384">
        <v>0</v>
      </c>
      <c r="I606" s="384">
        <v>0</v>
      </c>
      <c r="J606" s="383">
        <v>3535</v>
      </c>
      <c r="K606" s="383">
        <v>3549</v>
      </c>
    </row>
    <row r="607" spans="1:11" x14ac:dyDescent="0.3">
      <c r="A607" t="s">
        <v>2225</v>
      </c>
      <c r="B607" t="s">
        <v>2759</v>
      </c>
      <c r="C607" t="s">
        <v>2762</v>
      </c>
      <c r="D607" s="383">
        <v>5358</v>
      </c>
      <c r="E607" s="384">
        <v>581301923.13</v>
      </c>
      <c r="F607" s="384">
        <v>0</v>
      </c>
      <c r="G607" s="384">
        <v>0</v>
      </c>
      <c r="H607" s="384">
        <v>0</v>
      </c>
      <c r="I607" s="384">
        <v>0</v>
      </c>
      <c r="J607" s="383">
        <v>4200</v>
      </c>
      <c r="K607" s="383">
        <v>4217</v>
      </c>
    </row>
    <row r="608" spans="1:11" x14ac:dyDescent="0.3">
      <c r="A608" t="s">
        <v>2223</v>
      </c>
      <c r="B608" t="s">
        <v>2759</v>
      </c>
      <c r="C608" t="s">
        <v>2762</v>
      </c>
      <c r="D608" s="383">
        <v>62497</v>
      </c>
      <c r="E608" s="384">
        <v>4303470200.8800001</v>
      </c>
      <c r="F608" s="384">
        <v>0</v>
      </c>
      <c r="G608" s="384">
        <v>0</v>
      </c>
      <c r="H608" s="384">
        <v>0</v>
      </c>
      <c r="I608" s="384">
        <v>0</v>
      </c>
      <c r="J608" s="383">
        <v>51948</v>
      </c>
      <c r="K608" s="383">
        <v>54946</v>
      </c>
    </row>
    <row r="609" spans="1:11" x14ac:dyDescent="0.3">
      <c r="A609" t="s">
        <v>2223</v>
      </c>
      <c r="B609" t="s">
        <v>2759</v>
      </c>
      <c r="C609" t="s">
        <v>2763</v>
      </c>
      <c r="D609" s="383">
        <v>41602</v>
      </c>
      <c r="E609" s="384">
        <v>2792346979</v>
      </c>
      <c r="F609" s="384">
        <v>0</v>
      </c>
      <c r="G609" s="384">
        <v>0</v>
      </c>
      <c r="H609" s="384">
        <v>0</v>
      </c>
      <c r="I609" s="384">
        <v>0</v>
      </c>
      <c r="J609" s="383">
        <v>34402</v>
      </c>
      <c r="K609" s="383">
        <v>35942</v>
      </c>
    </row>
    <row r="610" spans="1:11" x14ac:dyDescent="0.3">
      <c r="A610" t="s">
        <v>2225</v>
      </c>
      <c r="B610" t="s">
        <v>2759</v>
      </c>
      <c r="C610" t="s">
        <v>2763</v>
      </c>
      <c r="D610" s="383">
        <v>4810</v>
      </c>
      <c r="E610" s="384">
        <v>454960920.56</v>
      </c>
      <c r="F610" s="384">
        <v>0</v>
      </c>
      <c r="G610" s="384">
        <v>0</v>
      </c>
      <c r="H610" s="384">
        <v>0</v>
      </c>
      <c r="I610" s="384">
        <v>0</v>
      </c>
      <c r="J610" s="383">
        <v>3783</v>
      </c>
      <c r="K610" s="383">
        <v>3804</v>
      </c>
    </row>
    <row r="611" spans="1:11" x14ac:dyDescent="0.3">
      <c r="A611" t="s">
        <v>2223</v>
      </c>
      <c r="B611" t="s">
        <v>2759</v>
      </c>
      <c r="C611" t="s">
        <v>2764</v>
      </c>
      <c r="D611" s="383">
        <v>73766</v>
      </c>
      <c r="E611" s="384">
        <v>6311620596.9099998</v>
      </c>
      <c r="F611" s="384">
        <v>0</v>
      </c>
      <c r="G611" s="384">
        <v>0</v>
      </c>
      <c r="H611" s="384">
        <v>0</v>
      </c>
      <c r="I611" s="384">
        <v>0</v>
      </c>
      <c r="J611" s="383">
        <v>66281</v>
      </c>
      <c r="K611" s="383">
        <v>70057</v>
      </c>
    </row>
    <row r="612" spans="1:11" x14ac:dyDescent="0.3">
      <c r="A612" t="s">
        <v>2225</v>
      </c>
      <c r="B612" t="s">
        <v>2759</v>
      </c>
      <c r="C612" t="s">
        <v>2764</v>
      </c>
      <c r="D612" s="383">
        <v>6528</v>
      </c>
      <c r="E612" s="384">
        <v>822601284.77999997</v>
      </c>
      <c r="F612" s="384">
        <v>0</v>
      </c>
      <c r="G612" s="384">
        <v>0</v>
      </c>
      <c r="H612" s="384">
        <v>0</v>
      </c>
      <c r="I612" s="384">
        <v>0</v>
      </c>
      <c r="J612" s="383">
        <v>5847</v>
      </c>
      <c r="K612" s="383">
        <v>5893</v>
      </c>
    </row>
    <row r="613" spans="1:11" x14ac:dyDescent="0.3">
      <c r="A613" t="s">
        <v>2225</v>
      </c>
      <c r="B613" t="s">
        <v>2759</v>
      </c>
      <c r="C613" t="s">
        <v>2765</v>
      </c>
      <c r="D613" s="383">
        <v>8910</v>
      </c>
      <c r="E613" s="384">
        <v>1147350735.3599999</v>
      </c>
      <c r="F613" s="384">
        <v>0</v>
      </c>
      <c r="G613" s="384">
        <v>0</v>
      </c>
      <c r="H613" s="384">
        <v>0</v>
      </c>
      <c r="I613" s="384">
        <v>0</v>
      </c>
      <c r="J613" s="383">
        <v>7621</v>
      </c>
      <c r="K613" s="383">
        <v>7651</v>
      </c>
    </row>
    <row r="614" spans="1:11" x14ac:dyDescent="0.3">
      <c r="A614" t="s">
        <v>2223</v>
      </c>
      <c r="B614" t="s">
        <v>2759</v>
      </c>
      <c r="C614" t="s">
        <v>2765</v>
      </c>
      <c r="D614" s="383">
        <v>75497</v>
      </c>
      <c r="E614" s="384">
        <v>6255878979.7799997</v>
      </c>
      <c r="F614" s="384">
        <v>0</v>
      </c>
      <c r="G614" s="384">
        <v>0</v>
      </c>
      <c r="H614" s="384">
        <v>0</v>
      </c>
      <c r="I614" s="384">
        <v>0</v>
      </c>
      <c r="J614" s="383">
        <v>65853</v>
      </c>
      <c r="K614" s="383">
        <v>69304</v>
      </c>
    </row>
    <row r="615" spans="1:11" x14ac:dyDescent="0.3">
      <c r="A615" t="s">
        <v>2223</v>
      </c>
      <c r="B615" t="s">
        <v>2759</v>
      </c>
      <c r="C615" t="s">
        <v>2766</v>
      </c>
      <c r="D615" s="383">
        <v>61346</v>
      </c>
      <c r="E615" s="384">
        <v>4757033188.9499998</v>
      </c>
      <c r="F615" s="384">
        <v>0</v>
      </c>
      <c r="G615" s="384">
        <v>0</v>
      </c>
      <c r="H615" s="384">
        <v>0</v>
      </c>
      <c r="I615" s="384">
        <v>0</v>
      </c>
      <c r="J615" s="383">
        <v>51348</v>
      </c>
      <c r="K615" s="383">
        <v>54252</v>
      </c>
    </row>
    <row r="616" spans="1:11" x14ac:dyDescent="0.3">
      <c r="A616" t="s">
        <v>2225</v>
      </c>
      <c r="B616" t="s">
        <v>2759</v>
      </c>
      <c r="C616" t="s">
        <v>2766</v>
      </c>
      <c r="D616" s="383">
        <v>8927</v>
      </c>
      <c r="E616" s="384">
        <v>894455734.5</v>
      </c>
      <c r="F616" s="384">
        <v>0</v>
      </c>
      <c r="G616" s="384">
        <v>0</v>
      </c>
      <c r="H616" s="384">
        <v>0</v>
      </c>
      <c r="I616" s="384">
        <v>0</v>
      </c>
      <c r="J616" s="383">
        <v>7221</v>
      </c>
      <c r="K616" s="383">
        <v>7261</v>
      </c>
    </row>
    <row r="617" spans="1:11" x14ac:dyDescent="0.3">
      <c r="A617" t="s">
        <v>2223</v>
      </c>
      <c r="B617" t="s">
        <v>2759</v>
      </c>
      <c r="C617" t="s">
        <v>2767</v>
      </c>
      <c r="D617" s="383">
        <v>49949</v>
      </c>
      <c r="E617" s="384">
        <v>3495594397.2399998</v>
      </c>
      <c r="F617" s="384">
        <v>0</v>
      </c>
      <c r="G617" s="384">
        <v>0</v>
      </c>
      <c r="H617" s="384">
        <v>0</v>
      </c>
      <c r="I617" s="384">
        <v>0</v>
      </c>
      <c r="J617" s="383">
        <v>40355</v>
      </c>
      <c r="K617" s="383">
        <v>42767</v>
      </c>
    </row>
    <row r="618" spans="1:11" x14ac:dyDescent="0.3">
      <c r="A618" t="s">
        <v>2225</v>
      </c>
      <c r="B618" t="s">
        <v>2759</v>
      </c>
      <c r="C618" t="s">
        <v>2767</v>
      </c>
      <c r="D618" s="383">
        <v>7705</v>
      </c>
      <c r="E618" s="384">
        <v>728303470.05999994</v>
      </c>
      <c r="F618" s="384">
        <v>0</v>
      </c>
      <c r="G618" s="384">
        <v>0</v>
      </c>
      <c r="H618" s="384">
        <v>0</v>
      </c>
      <c r="I618" s="384">
        <v>0</v>
      </c>
      <c r="J618" s="383">
        <v>6023</v>
      </c>
      <c r="K618" s="383">
        <v>6053</v>
      </c>
    </row>
    <row r="619" spans="1:11" x14ac:dyDescent="0.3">
      <c r="A619" t="s">
        <v>2225</v>
      </c>
      <c r="B619" t="s">
        <v>2759</v>
      </c>
      <c r="C619" t="s">
        <v>2768</v>
      </c>
      <c r="D619" s="383">
        <v>14062</v>
      </c>
      <c r="E619" s="384">
        <v>1520377331.5599999</v>
      </c>
      <c r="F619" s="384">
        <v>0</v>
      </c>
      <c r="G619" s="384">
        <v>0</v>
      </c>
      <c r="H619" s="384">
        <v>0</v>
      </c>
      <c r="I619" s="384">
        <v>0</v>
      </c>
      <c r="J619" s="383">
        <v>11528</v>
      </c>
      <c r="K619" s="383">
        <v>11583</v>
      </c>
    </row>
    <row r="620" spans="1:11" x14ac:dyDescent="0.3">
      <c r="A620" t="s">
        <v>2223</v>
      </c>
      <c r="B620" t="s">
        <v>2759</v>
      </c>
      <c r="C620" t="s">
        <v>2768</v>
      </c>
      <c r="D620" s="383">
        <v>95071</v>
      </c>
      <c r="E620" s="384">
        <v>7644813033.5100002</v>
      </c>
      <c r="F620" s="384">
        <v>0</v>
      </c>
      <c r="G620" s="384">
        <v>0</v>
      </c>
      <c r="H620" s="384">
        <v>0</v>
      </c>
      <c r="I620" s="384">
        <v>0</v>
      </c>
      <c r="J620" s="383">
        <v>81739</v>
      </c>
      <c r="K620" s="383">
        <v>86030</v>
      </c>
    </row>
    <row r="621" spans="1:11" x14ac:dyDescent="0.3">
      <c r="A621" t="s">
        <v>2225</v>
      </c>
      <c r="B621" t="s">
        <v>2759</v>
      </c>
      <c r="C621" t="s">
        <v>2769</v>
      </c>
      <c r="D621" s="383">
        <v>18672</v>
      </c>
      <c r="E621" s="384">
        <v>2043898079.74</v>
      </c>
      <c r="F621" s="384">
        <v>0</v>
      </c>
      <c r="G621" s="384">
        <v>0</v>
      </c>
      <c r="H621" s="384">
        <v>0</v>
      </c>
      <c r="I621" s="384">
        <v>0</v>
      </c>
      <c r="J621" s="383">
        <v>14849</v>
      </c>
      <c r="K621" s="383">
        <v>14944</v>
      </c>
    </row>
    <row r="622" spans="1:11" x14ac:dyDescent="0.3">
      <c r="A622" t="s">
        <v>2223</v>
      </c>
      <c r="B622" t="s">
        <v>2759</v>
      </c>
      <c r="C622" t="s">
        <v>2769</v>
      </c>
      <c r="D622" s="383">
        <v>117412</v>
      </c>
      <c r="E622" s="384">
        <v>9330743417.8999996</v>
      </c>
      <c r="F622" s="384">
        <v>0</v>
      </c>
      <c r="G622" s="384">
        <v>0</v>
      </c>
      <c r="H622" s="384">
        <v>0</v>
      </c>
      <c r="I622" s="384">
        <v>0</v>
      </c>
      <c r="J622" s="383">
        <v>98686</v>
      </c>
      <c r="K622" s="383">
        <v>103582</v>
      </c>
    </row>
    <row r="623" spans="1:11" x14ac:dyDescent="0.3">
      <c r="A623" t="s">
        <v>2225</v>
      </c>
      <c r="B623" t="s">
        <v>2759</v>
      </c>
      <c r="C623" t="s">
        <v>2770</v>
      </c>
      <c r="D623" s="383">
        <v>20981</v>
      </c>
      <c r="E623" s="384">
        <v>2396844167.8299999</v>
      </c>
      <c r="F623" s="384">
        <v>0</v>
      </c>
      <c r="G623" s="384">
        <v>0</v>
      </c>
      <c r="H623" s="384">
        <v>0</v>
      </c>
      <c r="I623" s="384">
        <v>0</v>
      </c>
      <c r="J623" s="383">
        <v>16275</v>
      </c>
      <c r="K623" s="383">
        <v>16373</v>
      </c>
    </row>
    <row r="624" spans="1:11" x14ac:dyDescent="0.3">
      <c r="A624" t="s">
        <v>2223</v>
      </c>
      <c r="B624" t="s">
        <v>2759</v>
      </c>
      <c r="C624" t="s">
        <v>2770</v>
      </c>
      <c r="D624" s="383">
        <v>139897</v>
      </c>
      <c r="E624" s="384">
        <v>12018798074.110001</v>
      </c>
      <c r="F624" s="384">
        <v>0</v>
      </c>
      <c r="G624" s="384">
        <v>0</v>
      </c>
      <c r="H624" s="384">
        <v>0</v>
      </c>
      <c r="I624" s="384">
        <v>0</v>
      </c>
      <c r="J624" s="383">
        <v>116057</v>
      </c>
      <c r="K624" s="383">
        <v>122015</v>
      </c>
    </row>
    <row r="625" spans="1:11" x14ac:dyDescent="0.3">
      <c r="A625" t="s">
        <v>2223</v>
      </c>
      <c r="B625" t="s">
        <v>2759</v>
      </c>
      <c r="C625" t="s">
        <v>2771</v>
      </c>
      <c r="D625" s="383">
        <v>92313</v>
      </c>
      <c r="E625" s="384">
        <v>9377479351.75</v>
      </c>
      <c r="F625" s="384">
        <v>0</v>
      </c>
      <c r="G625" s="384">
        <v>0</v>
      </c>
      <c r="H625" s="384">
        <v>0</v>
      </c>
      <c r="I625" s="384">
        <v>0</v>
      </c>
      <c r="J625" s="383">
        <v>78827</v>
      </c>
      <c r="K625" s="383">
        <v>83421</v>
      </c>
    </row>
    <row r="626" spans="1:11" x14ac:dyDescent="0.3">
      <c r="A626" t="s">
        <v>2225</v>
      </c>
      <c r="B626" t="s">
        <v>2759</v>
      </c>
      <c r="C626" t="s">
        <v>2771</v>
      </c>
      <c r="D626" s="383">
        <v>12077</v>
      </c>
      <c r="E626" s="384">
        <v>1500463855.71</v>
      </c>
      <c r="F626" s="384">
        <v>0</v>
      </c>
      <c r="G626" s="384">
        <v>0</v>
      </c>
      <c r="H626" s="384">
        <v>0</v>
      </c>
      <c r="I626" s="384">
        <v>0</v>
      </c>
      <c r="J626" s="383">
        <v>9653</v>
      </c>
      <c r="K626" s="383">
        <v>9736</v>
      </c>
    </row>
    <row r="627" spans="1:11" x14ac:dyDescent="0.3">
      <c r="A627" t="s">
        <v>2225</v>
      </c>
      <c r="B627" t="s">
        <v>2759</v>
      </c>
      <c r="C627" t="s">
        <v>2772</v>
      </c>
      <c r="D627" s="383">
        <v>1470</v>
      </c>
      <c r="E627" s="384">
        <v>180143732.44999999</v>
      </c>
      <c r="F627" s="384">
        <v>0</v>
      </c>
      <c r="G627" s="384">
        <v>0</v>
      </c>
      <c r="H627" s="384">
        <v>0</v>
      </c>
      <c r="I627" s="384">
        <v>0</v>
      </c>
      <c r="J627" s="383">
        <v>1281</v>
      </c>
      <c r="K627" s="383">
        <v>1294</v>
      </c>
    </row>
    <row r="628" spans="1:11" x14ac:dyDescent="0.3">
      <c r="A628" t="s">
        <v>2223</v>
      </c>
      <c r="B628" t="s">
        <v>2759</v>
      </c>
      <c r="C628" t="s">
        <v>2772</v>
      </c>
      <c r="D628" s="383">
        <v>5830</v>
      </c>
      <c r="E628" s="384">
        <v>598536004.02999997</v>
      </c>
      <c r="F628" s="384">
        <v>0</v>
      </c>
      <c r="G628" s="384">
        <v>0</v>
      </c>
      <c r="H628" s="384">
        <v>0</v>
      </c>
      <c r="I628" s="384">
        <v>0</v>
      </c>
      <c r="J628" s="383">
        <v>5153</v>
      </c>
      <c r="K628" s="383">
        <v>5412</v>
      </c>
    </row>
    <row r="629" spans="1:11" x14ac:dyDescent="0.3">
      <c r="A629" t="s">
        <v>2223</v>
      </c>
      <c r="B629" t="s">
        <v>2759</v>
      </c>
      <c r="C629" t="s">
        <v>1000</v>
      </c>
      <c r="D629" s="383">
        <v>9219</v>
      </c>
      <c r="E629" s="384">
        <v>891177225.73000002</v>
      </c>
      <c r="F629" s="384">
        <v>0</v>
      </c>
      <c r="G629" s="384">
        <v>0</v>
      </c>
      <c r="H629" s="384">
        <v>0</v>
      </c>
      <c r="I629" s="384">
        <v>0</v>
      </c>
      <c r="J629" s="383">
        <v>8163</v>
      </c>
      <c r="K629" s="383">
        <v>8505</v>
      </c>
    </row>
    <row r="630" spans="1:11" x14ac:dyDescent="0.3">
      <c r="A630" t="s">
        <v>2223</v>
      </c>
      <c r="B630" t="s">
        <v>2759</v>
      </c>
      <c r="C630" t="s">
        <v>1010</v>
      </c>
      <c r="D630" s="383">
        <v>193</v>
      </c>
      <c r="E630" s="384">
        <v>13115283.34</v>
      </c>
      <c r="F630" s="384">
        <v>0</v>
      </c>
      <c r="G630" s="384">
        <v>0</v>
      </c>
      <c r="H630" s="384">
        <v>0</v>
      </c>
      <c r="I630" s="384">
        <v>0</v>
      </c>
      <c r="J630" s="383">
        <v>182</v>
      </c>
      <c r="K630" s="383">
        <v>193</v>
      </c>
    </row>
    <row r="631" spans="1:11" x14ac:dyDescent="0.3">
      <c r="A631" t="s">
        <v>2223</v>
      </c>
      <c r="B631" t="s">
        <v>2773</v>
      </c>
      <c r="C631" t="s">
        <v>2774</v>
      </c>
      <c r="D631" s="383">
        <v>30901</v>
      </c>
      <c r="E631" s="384">
        <v>1849013271.3599999</v>
      </c>
      <c r="F631" s="384">
        <v>0</v>
      </c>
      <c r="G631" s="384">
        <v>0</v>
      </c>
      <c r="H631" s="384">
        <v>0</v>
      </c>
      <c r="I631" s="384">
        <v>0</v>
      </c>
      <c r="J631" s="383">
        <v>28850</v>
      </c>
      <c r="K631" s="383">
        <v>29432</v>
      </c>
    </row>
    <row r="632" spans="1:11" x14ac:dyDescent="0.3">
      <c r="A632" t="s">
        <v>2223</v>
      </c>
      <c r="B632" t="s">
        <v>2773</v>
      </c>
      <c r="C632" t="s">
        <v>2775</v>
      </c>
      <c r="D632" s="383">
        <v>11040</v>
      </c>
      <c r="E632" s="384">
        <v>1245254298.4000001</v>
      </c>
      <c r="F632" s="384">
        <v>0</v>
      </c>
      <c r="G632" s="384">
        <v>0</v>
      </c>
      <c r="H632" s="384">
        <v>0</v>
      </c>
      <c r="I632" s="384">
        <v>0</v>
      </c>
      <c r="J632" s="383">
        <v>10309</v>
      </c>
      <c r="K632" s="383">
        <v>10445</v>
      </c>
    </row>
    <row r="633" spans="1:11" x14ac:dyDescent="0.3">
      <c r="A633" t="s">
        <v>2223</v>
      </c>
      <c r="B633" t="s">
        <v>2773</v>
      </c>
      <c r="C633" t="s">
        <v>2776</v>
      </c>
      <c r="D633" s="383">
        <v>12700</v>
      </c>
      <c r="E633" s="384">
        <v>1682568829.75</v>
      </c>
      <c r="F633" s="384">
        <v>0</v>
      </c>
      <c r="G633" s="384">
        <v>0</v>
      </c>
      <c r="H633" s="384">
        <v>0</v>
      </c>
      <c r="I633" s="384">
        <v>0</v>
      </c>
      <c r="J633" s="383">
        <v>11967</v>
      </c>
      <c r="K633" s="383">
        <v>12141</v>
      </c>
    </row>
    <row r="634" spans="1:11" x14ac:dyDescent="0.3">
      <c r="A634" t="s">
        <v>2223</v>
      </c>
      <c r="B634" t="s">
        <v>2773</v>
      </c>
      <c r="C634" t="s">
        <v>2777</v>
      </c>
      <c r="D634" s="383">
        <v>14009</v>
      </c>
      <c r="E634" s="384">
        <v>2061643176.97</v>
      </c>
      <c r="F634" s="384">
        <v>0</v>
      </c>
      <c r="G634" s="384">
        <v>0</v>
      </c>
      <c r="H634" s="384">
        <v>0</v>
      </c>
      <c r="I634" s="384">
        <v>0</v>
      </c>
      <c r="J634" s="383">
        <v>13219</v>
      </c>
      <c r="K634" s="383">
        <v>13452</v>
      </c>
    </row>
    <row r="635" spans="1:11" x14ac:dyDescent="0.3">
      <c r="A635" t="s">
        <v>2223</v>
      </c>
      <c r="B635" t="s">
        <v>2773</v>
      </c>
      <c r="C635" t="s">
        <v>2778</v>
      </c>
      <c r="D635" s="383">
        <v>17188</v>
      </c>
      <c r="E635" s="384">
        <v>2906026426.3899999</v>
      </c>
      <c r="F635" s="384">
        <v>0</v>
      </c>
      <c r="G635" s="384">
        <v>0</v>
      </c>
      <c r="H635" s="384">
        <v>0</v>
      </c>
      <c r="I635" s="384">
        <v>0</v>
      </c>
      <c r="J635" s="383">
        <v>16326</v>
      </c>
      <c r="K635" s="383">
        <v>16641</v>
      </c>
    </row>
    <row r="636" spans="1:11" x14ac:dyDescent="0.3">
      <c r="A636" t="s">
        <v>2223</v>
      </c>
      <c r="B636" t="s">
        <v>2773</v>
      </c>
      <c r="C636" t="s">
        <v>2779</v>
      </c>
      <c r="D636" s="383">
        <v>9961</v>
      </c>
      <c r="E636" s="384">
        <v>1888816056.7</v>
      </c>
      <c r="F636" s="384">
        <v>0</v>
      </c>
      <c r="G636" s="384">
        <v>0</v>
      </c>
      <c r="H636" s="384">
        <v>0</v>
      </c>
      <c r="I636" s="384">
        <v>0</v>
      </c>
      <c r="J636" s="383">
        <v>9655</v>
      </c>
      <c r="K636" s="383">
        <v>9735</v>
      </c>
    </row>
    <row r="637" spans="1:11" x14ac:dyDescent="0.3">
      <c r="A637" t="s">
        <v>2223</v>
      </c>
      <c r="B637" t="s">
        <v>2773</v>
      </c>
      <c r="C637" t="s">
        <v>2780</v>
      </c>
      <c r="D637" s="383">
        <v>8696</v>
      </c>
      <c r="E637" s="384">
        <v>1707070242.48</v>
      </c>
      <c r="F637" s="384">
        <v>0</v>
      </c>
      <c r="G637" s="384">
        <v>0</v>
      </c>
      <c r="H637" s="384">
        <v>0</v>
      </c>
      <c r="I637" s="384">
        <v>0</v>
      </c>
      <c r="J637" s="383">
        <v>8490</v>
      </c>
      <c r="K637" s="383">
        <v>8545</v>
      </c>
    </row>
    <row r="638" spans="1:11" x14ac:dyDescent="0.3">
      <c r="A638" t="s">
        <v>2223</v>
      </c>
      <c r="B638" t="s">
        <v>2773</v>
      </c>
      <c r="C638" t="s">
        <v>2781</v>
      </c>
      <c r="D638" s="383">
        <v>4747</v>
      </c>
      <c r="E638" s="384">
        <v>960534355.97000003</v>
      </c>
      <c r="F638" s="384">
        <v>0</v>
      </c>
      <c r="G638" s="384">
        <v>0</v>
      </c>
      <c r="H638" s="384">
        <v>0</v>
      </c>
      <c r="I638" s="384">
        <v>0</v>
      </c>
      <c r="J638" s="383">
        <v>4677</v>
      </c>
      <c r="K638" s="383">
        <v>4702</v>
      </c>
    </row>
    <row r="639" spans="1:11" x14ac:dyDescent="0.3">
      <c r="A639" t="s">
        <v>2223</v>
      </c>
      <c r="B639" t="s">
        <v>2773</v>
      </c>
      <c r="C639" t="s">
        <v>2782</v>
      </c>
      <c r="D639" s="383">
        <v>2124</v>
      </c>
      <c r="E639" s="384">
        <v>442520862.32999998</v>
      </c>
      <c r="F639" s="384">
        <v>0</v>
      </c>
      <c r="G639" s="384">
        <v>0</v>
      </c>
      <c r="H639" s="384">
        <v>0</v>
      </c>
      <c r="I639" s="384">
        <v>0</v>
      </c>
      <c r="J639" s="383">
        <v>2093</v>
      </c>
      <c r="K639" s="383">
        <v>2105</v>
      </c>
    </row>
    <row r="640" spans="1:11" x14ac:dyDescent="0.3">
      <c r="A640" t="s">
        <v>2223</v>
      </c>
      <c r="B640" t="s">
        <v>2773</v>
      </c>
      <c r="C640" t="s">
        <v>2783</v>
      </c>
      <c r="D640" s="383">
        <v>9549</v>
      </c>
      <c r="E640" s="384">
        <v>288004006.16000003</v>
      </c>
      <c r="F640" s="384">
        <v>0</v>
      </c>
      <c r="G640" s="384">
        <v>0</v>
      </c>
      <c r="H640" s="384">
        <v>0</v>
      </c>
      <c r="I640" s="384">
        <v>0</v>
      </c>
      <c r="J640" s="383">
        <v>8747</v>
      </c>
      <c r="K640" s="383">
        <v>8887</v>
      </c>
    </row>
    <row r="641" spans="1:11" x14ac:dyDescent="0.3">
      <c r="A641" t="s">
        <v>2223</v>
      </c>
      <c r="B641" t="s">
        <v>2773</v>
      </c>
      <c r="C641" t="s">
        <v>2784</v>
      </c>
      <c r="D641" s="383">
        <v>3428</v>
      </c>
      <c r="E641" s="384">
        <v>208418114.34999999</v>
      </c>
      <c r="F641" s="384">
        <v>0</v>
      </c>
      <c r="G641" s="384">
        <v>0</v>
      </c>
      <c r="H641" s="384">
        <v>0</v>
      </c>
      <c r="I641" s="384">
        <v>0</v>
      </c>
      <c r="J641" s="383">
        <v>3097</v>
      </c>
      <c r="K641" s="383">
        <v>3118</v>
      </c>
    </row>
    <row r="642" spans="1:11" x14ac:dyDescent="0.3">
      <c r="A642" t="s">
        <v>2223</v>
      </c>
      <c r="B642" t="s">
        <v>2773</v>
      </c>
      <c r="C642" t="s">
        <v>2785</v>
      </c>
      <c r="D642" s="383">
        <v>4288</v>
      </c>
      <c r="E642" s="384">
        <v>307592115.42000002</v>
      </c>
      <c r="F642" s="384">
        <v>0</v>
      </c>
      <c r="G642" s="384">
        <v>0</v>
      </c>
      <c r="H642" s="384">
        <v>0</v>
      </c>
      <c r="I642" s="384">
        <v>0</v>
      </c>
      <c r="J642" s="383">
        <v>3817</v>
      </c>
      <c r="K642" s="383">
        <v>3855</v>
      </c>
    </row>
    <row r="643" spans="1:11" x14ac:dyDescent="0.3">
      <c r="A643" t="s">
        <v>2223</v>
      </c>
      <c r="B643" t="s">
        <v>2773</v>
      </c>
      <c r="C643" t="s">
        <v>2786</v>
      </c>
      <c r="D643" s="383">
        <v>4890</v>
      </c>
      <c r="E643" s="384">
        <v>404589122.75</v>
      </c>
      <c r="F643" s="384">
        <v>0</v>
      </c>
      <c r="G643" s="384">
        <v>0</v>
      </c>
      <c r="H643" s="384">
        <v>0</v>
      </c>
      <c r="I643" s="384">
        <v>0</v>
      </c>
      <c r="J643" s="383">
        <v>4325</v>
      </c>
      <c r="K643" s="383">
        <v>4397</v>
      </c>
    </row>
    <row r="644" spans="1:11" x14ac:dyDescent="0.3">
      <c r="A644" t="s">
        <v>2223</v>
      </c>
      <c r="B644" t="s">
        <v>2773</v>
      </c>
      <c r="C644" t="s">
        <v>2787</v>
      </c>
      <c r="D644" s="383">
        <v>5905</v>
      </c>
      <c r="E644" s="384">
        <v>588727035.64999998</v>
      </c>
      <c r="F644" s="384">
        <v>0</v>
      </c>
      <c r="G644" s="384">
        <v>0</v>
      </c>
      <c r="H644" s="384">
        <v>0</v>
      </c>
      <c r="I644" s="384">
        <v>0</v>
      </c>
      <c r="J644" s="383">
        <v>5225</v>
      </c>
      <c r="K644" s="383">
        <v>5307</v>
      </c>
    </row>
    <row r="645" spans="1:11" x14ac:dyDescent="0.3">
      <c r="A645" t="s">
        <v>2223</v>
      </c>
      <c r="B645" t="s">
        <v>2773</v>
      </c>
      <c r="C645" t="s">
        <v>2788</v>
      </c>
      <c r="D645" s="383">
        <v>2886</v>
      </c>
      <c r="E645" s="384">
        <v>342981366.35000002</v>
      </c>
      <c r="F645" s="384">
        <v>0</v>
      </c>
      <c r="G645" s="384">
        <v>0</v>
      </c>
      <c r="H645" s="384">
        <v>0</v>
      </c>
      <c r="I645" s="384">
        <v>0</v>
      </c>
      <c r="J645" s="383">
        <v>2659</v>
      </c>
      <c r="K645" s="383">
        <v>2682</v>
      </c>
    </row>
    <row r="646" spans="1:11" x14ac:dyDescent="0.3">
      <c r="A646" t="s">
        <v>2223</v>
      </c>
      <c r="B646" t="s">
        <v>2773</v>
      </c>
      <c r="C646" t="s">
        <v>2789</v>
      </c>
      <c r="D646" s="383">
        <v>2410</v>
      </c>
      <c r="E646" s="384">
        <v>321665223.13999999</v>
      </c>
      <c r="F646" s="384">
        <v>0</v>
      </c>
      <c r="G646" s="384">
        <v>0</v>
      </c>
      <c r="H646" s="384">
        <v>0</v>
      </c>
      <c r="I646" s="384">
        <v>0</v>
      </c>
      <c r="J646" s="383">
        <v>2276</v>
      </c>
      <c r="K646" s="383">
        <v>2291</v>
      </c>
    </row>
    <row r="647" spans="1:11" x14ac:dyDescent="0.3">
      <c r="A647" t="s">
        <v>2223</v>
      </c>
      <c r="B647" t="s">
        <v>2773</v>
      </c>
      <c r="C647" t="s">
        <v>2790</v>
      </c>
      <c r="D647" s="383">
        <v>1313</v>
      </c>
      <c r="E647" s="384">
        <v>187456447.52000001</v>
      </c>
      <c r="F647" s="384">
        <v>0</v>
      </c>
      <c r="G647" s="384">
        <v>0</v>
      </c>
      <c r="H647" s="384">
        <v>0</v>
      </c>
      <c r="I647" s="384">
        <v>0</v>
      </c>
      <c r="J647" s="383">
        <v>1270</v>
      </c>
      <c r="K647" s="383">
        <v>1272</v>
      </c>
    </row>
    <row r="648" spans="1:11" x14ac:dyDescent="0.3">
      <c r="A648" t="s">
        <v>2223</v>
      </c>
      <c r="B648" t="s">
        <v>2773</v>
      </c>
      <c r="C648" t="s">
        <v>2791</v>
      </c>
      <c r="D648" s="383">
        <v>597</v>
      </c>
      <c r="E648" s="384">
        <v>92578788.219999999</v>
      </c>
      <c r="F648" s="384">
        <v>0</v>
      </c>
      <c r="G648" s="384">
        <v>0</v>
      </c>
      <c r="H648" s="384">
        <v>0</v>
      </c>
      <c r="I648" s="384">
        <v>0</v>
      </c>
      <c r="J648" s="383">
        <v>585</v>
      </c>
      <c r="K648" s="383">
        <v>584</v>
      </c>
    </row>
    <row r="649" spans="1:11" x14ac:dyDescent="0.3">
      <c r="A649" t="s">
        <v>2223</v>
      </c>
      <c r="B649" t="s">
        <v>2773</v>
      </c>
      <c r="C649" t="s">
        <v>2792</v>
      </c>
      <c r="D649" s="383">
        <v>15516</v>
      </c>
      <c r="E649" s="384">
        <v>409142706.45999998</v>
      </c>
      <c r="F649" s="384">
        <v>0</v>
      </c>
      <c r="G649" s="384">
        <v>0</v>
      </c>
      <c r="H649" s="384">
        <v>0</v>
      </c>
      <c r="I649" s="384">
        <v>0</v>
      </c>
      <c r="J649" s="383">
        <v>13868</v>
      </c>
      <c r="K649" s="383">
        <v>14223</v>
      </c>
    </row>
    <row r="650" spans="1:11" x14ac:dyDescent="0.3">
      <c r="A650" t="s">
        <v>2223</v>
      </c>
      <c r="B650" t="s">
        <v>2773</v>
      </c>
      <c r="C650" t="s">
        <v>2793</v>
      </c>
      <c r="D650" s="383">
        <v>5846</v>
      </c>
      <c r="E650" s="384">
        <v>298364218.13</v>
      </c>
      <c r="F650" s="384">
        <v>0</v>
      </c>
      <c r="G650" s="384">
        <v>0</v>
      </c>
      <c r="H650" s="384">
        <v>0</v>
      </c>
      <c r="I650" s="384">
        <v>0</v>
      </c>
      <c r="J650" s="383">
        <v>5099</v>
      </c>
      <c r="K650" s="383">
        <v>5170</v>
      </c>
    </row>
    <row r="651" spans="1:11" x14ac:dyDescent="0.3">
      <c r="A651" t="s">
        <v>2223</v>
      </c>
      <c r="B651" t="s">
        <v>2773</v>
      </c>
      <c r="C651" t="s">
        <v>2794</v>
      </c>
      <c r="D651" s="383">
        <v>7270</v>
      </c>
      <c r="E651" s="384">
        <v>458171272.05000001</v>
      </c>
      <c r="F651" s="384">
        <v>0</v>
      </c>
      <c r="G651" s="384">
        <v>0</v>
      </c>
      <c r="H651" s="384">
        <v>0</v>
      </c>
      <c r="I651" s="384">
        <v>0</v>
      </c>
      <c r="J651" s="383">
        <v>6218</v>
      </c>
      <c r="K651" s="383">
        <v>6333</v>
      </c>
    </row>
    <row r="652" spans="1:11" x14ac:dyDescent="0.3">
      <c r="A652" t="s">
        <v>2223</v>
      </c>
      <c r="B652" t="s">
        <v>2773</v>
      </c>
      <c r="C652" t="s">
        <v>2795</v>
      </c>
      <c r="D652" s="383">
        <v>8718</v>
      </c>
      <c r="E652" s="384">
        <v>634724141.09000003</v>
      </c>
      <c r="F652" s="384">
        <v>0</v>
      </c>
      <c r="G652" s="384">
        <v>0</v>
      </c>
      <c r="H652" s="384">
        <v>0</v>
      </c>
      <c r="I652" s="384">
        <v>0</v>
      </c>
      <c r="J652" s="383">
        <v>7258</v>
      </c>
      <c r="K652" s="383">
        <v>7387</v>
      </c>
    </row>
    <row r="653" spans="1:11" x14ac:dyDescent="0.3">
      <c r="A653" t="s">
        <v>2223</v>
      </c>
      <c r="B653" t="s">
        <v>2773</v>
      </c>
      <c r="C653" t="s">
        <v>2796</v>
      </c>
      <c r="D653" s="383">
        <v>10747</v>
      </c>
      <c r="E653" s="384">
        <v>913872189.14999998</v>
      </c>
      <c r="F653" s="384">
        <v>0</v>
      </c>
      <c r="G653" s="384">
        <v>0</v>
      </c>
      <c r="H653" s="384">
        <v>0</v>
      </c>
      <c r="I653" s="384">
        <v>0</v>
      </c>
      <c r="J653" s="383">
        <v>8794</v>
      </c>
      <c r="K653" s="383">
        <v>8975</v>
      </c>
    </row>
    <row r="654" spans="1:11" x14ac:dyDescent="0.3">
      <c r="A654" t="s">
        <v>2223</v>
      </c>
      <c r="B654" t="s">
        <v>2773</v>
      </c>
      <c r="C654" t="s">
        <v>2797</v>
      </c>
      <c r="D654" s="383">
        <v>5419</v>
      </c>
      <c r="E654" s="384">
        <v>538954303.37</v>
      </c>
      <c r="F654" s="384">
        <v>0</v>
      </c>
      <c r="G654" s="384">
        <v>0</v>
      </c>
      <c r="H654" s="384">
        <v>0</v>
      </c>
      <c r="I654" s="384">
        <v>0</v>
      </c>
      <c r="J654" s="383">
        <v>4634</v>
      </c>
      <c r="K654" s="383">
        <v>4680</v>
      </c>
    </row>
    <row r="655" spans="1:11" x14ac:dyDescent="0.3">
      <c r="A655" t="s">
        <v>2223</v>
      </c>
      <c r="B655" t="s">
        <v>2773</v>
      </c>
      <c r="C655" t="s">
        <v>2798</v>
      </c>
      <c r="D655" s="383">
        <v>4726</v>
      </c>
      <c r="E655" s="384">
        <v>530842060.86000001</v>
      </c>
      <c r="F655" s="384">
        <v>0</v>
      </c>
      <c r="G655" s="384">
        <v>0</v>
      </c>
      <c r="H655" s="384">
        <v>0</v>
      </c>
      <c r="I655" s="384">
        <v>0</v>
      </c>
      <c r="J655" s="383">
        <v>4168</v>
      </c>
      <c r="K655" s="383">
        <v>4184</v>
      </c>
    </row>
    <row r="656" spans="1:11" x14ac:dyDescent="0.3">
      <c r="A656" t="s">
        <v>2223</v>
      </c>
      <c r="B656" t="s">
        <v>2773</v>
      </c>
      <c r="C656" t="s">
        <v>2799</v>
      </c>
      <c r="D656" s="383">
        <v>2933</v>
      </c>
      <c r="E656" s="384">
        <v>349867735.92000002</v>
      </c>
      <c r="F656" s="384">
        <v>0</v>
      </c>
      <c r="G656" s="384">
        <v>0</v>
      </c>
      <c r="H656" s="384">
        <v>0</v>
      </c>
      <c r="I656" s="384">
        <v>0</v>
      </c>
      <c r="J656" s="383">
        <v>2706</v>
      </c>
      <c r="K656" s="383">
        <v>2720</v>
      </c>
    </row>
    <row r="657" spans="1:11" x14ac:dyDescent="0.3">
      <c r="A657" t="s">
        <v>2223</v>
      </c>
      <c r="B657" t="s">
        <v>2773</v>
      </c>
      <c r="C657" t="s">
        <v>2800</v>
      </c>
      <c r="D657" s="383">
        <v>1322</v>
      </c>
      <c r="E657" s="384">
        <v>169531573.84999999</v>
      </c>
      <c r="F657" s="384">
        <v>0</v>
      </c>
      <c r="G657" s="384">
        <v>0</v>
      </c>
      <c r="H657" s="384">
        <v>0</v>
      </c>
      <c r="I657" s="384">
        <v>0</v>
      </c>
      <c r="J657" s="383">
        <v>1265</v>
      </c>
      <c r="K657" s="383">
        <v>1274</v>
      </c>
    </row>
    <row r="658" spans="1:11" x14ac:dyDescent="0.3">
      <c r="A658" t="s">
        <v>2223</v>
      </c>
      <c r="B658" t="s">
        <v>2773</v>
      </c>
      <c r="C658" t="s">
        <v>2801</v>
      </c>
      <c r="D658" s="383">
        <v>11551</v>
      </c>
      <c r="E658" s="384">
        <v>321550322.39999998</v>
      </c>
      <c r="F658" s="384">
        <v>0</v>
      </c>
      <c r="G658" s="384">
        <v>0</v>
      </c>
      <c r="H658" s="384">
        <v>0</v>
      </c>
      <c r="I658" s="384">
        <v>0</v>
      </c>
      <c r="J658" s="383">
        <v>10314</v>
      </c>
      <c r="K658" s="383">
        <v>10552</v>
      </c>
    </row>
    <row r="659" spans="1:11" x14ac:dyDescent="0.3">
      <c r="A659" t="s">
        <v>2223</v>
      </c>
      <c r="B659" t="s">
        <v>2773</v>
      </c>
      <c r="C659" t="s">
        <v>2802</v>
      </c>
      <c r="D659" s="383">
        <v>4572</v>
      </c>
      <c r="E659" s="384">
        <v>241019252.90000001</v>
      </c>
      <c r="F659" s="384">
        <v>0</v>
      </c>
      <c r="G659" s="384">
        <v>0</v>
      </c>
      <c r="H659" s="384">
        <v>0</v>
      </c>
      <c r="I659" s="384">
        <v>0</v>
      </c>
      <c r="J659" s="383">
        <v>3785</v>
      </c>
      <c r="K659" s="383">
        <v>3819</v>
      </c>
    </row>
    <row r="660" spans="1:11" x14ac:dyDescent="0.3">
      <c r="A660" t="s">
        <v>2223</v>
      </c>
      <c r="B660" t="s">
        <v>2773</v>
      </c>
      <c r="C660" t="s">
        <v>2803</v>
      </c>
      <c r="D660" s="383">
        <v>5492</v>
      </c>
      <c r="E660" s="384">
        <v>331267407.52999997</v>
      </c>
      <c r="F660" s="384">
        <v>0</v>
      </c>
      <c r="G660" s="384">
        <v>0</v>
      </c>
      <c r="H660" s="384">
        <v>0</v>
      </c>
      <c r="I660" s="384">
        <v>0</v>
      </c>
      <c r="J660" s="383">
        <v>4380</v>
      </c>
      <c r="K660" s="383">
        <v>4430</v>
      </c>
    </row>
    <row r="661" spans="1:11" x14ac:dyDescent="0.3">
      <c r="A661" t="s">
        <v>2223</v>
      </c>
      <c r="B661" t="s">
        <v>2773</v>
      </c>
      <c r="C661" t="s">
        <v>2804</v>
      </c>
      <c r="D661" s="383">
        <v>6273</v>
      </c>
      <c r="E661" s="384">
        <v>440601343.13</v>
      </c>
      <c r="F661" s="384">
        <v>0</v>
      </c>
      <c r="G661" s="384">
        <v>0</v>
      </c>
      <c r="H661" s="384">
        <v>0</v>
      </c>
      <c r="I661" s="384">
        <v>0</v>
      </c>
      <c r="J661" s="383">
        <v>4920</v>
      </c>
      <c r="K661" s="383">
        <v>4984</v>
      </c>
    </row>
    <row r="662" spans="1:11" x14ac:dyDescent="0.3">
      <c r="A662" t="s">
        <v>2223</v>
      </c>
      <c r="B662" t="s">
        <v>2773</v>
      </c>
      <c r="C662" t="s">
        <v>2805</v>
      </c>
      <c r="D662" s="383">
        <v>6339</v>
      </c>
      <c r="E662" s="384">
        <v>550934997.87</v>
      </c>
      <c r="F662" s="384">
        <v>0</v>
      </c>
      <c r="G662" s="384">
        <v>0</v>
      </c>
      <c r="H662" s="384">
        <v>0</v>
      </c>
      <c r="I662" s="384">
        <v>0</v>
      </c>
      <c r="J662" s="383">
        <v>5165</v>
      </c>
      <c r="K662" s="383">
        <v>5217</v>
      </c>
    </row>
    <row r="663" spans="1:11" x14ac:dyDescent="0.3">
      <c r="A663" t="s">
        <v>2223</v>
      </c>
      <c r="B663" t="s">
        <v>2773</v>
      </c>
      <c r="C663" t="s">
        <v>2806</v>
      </c>
      <c r="D663" s="383">
        <v>2641</v>
      </c>
      <c r="E663" s="384">
        <v>296867869.06</v>
      </c>
      <c r="F663" s="384">
        <v>0</v>
      </c>
      <c r="G663" s="384">
        <v>0</v>
      </c>
      <c r="H663" s="384">
        <v>0</v>
      </c>
      <c r="I663" s="384">
        <v>0</v>
      </c>
      <c r="J663" s="383">
        <v>2415</v>
      </c>
      <c r="K663" s="383">
        <v>2436</v>
      </c>
    </row>
    <row r="664" spans="1:11" x14ac:dyDescent="0.3">
      <c r="A664" t="s">
        <v>2223</v>
      </c>
      <c r="B664" t="s">
        <v>2773</v>
      </c>
      <c r="C664" t="s">
        <v>2807</v>
      </c>
      <c r="D664" s="383">
        <v>2294</v>
      </c>
      <c r="E664" s="384">
        <v>294429018.67000002</v>
      </c>
      <c r="F664" s="384">
        <v>0</v>
      </c>
      <c r="G664" s="384">
        <v>0</v>
      </c>
      <c r="H664" s="384">
        <v>0</v>
      </c>
      <c r="I664" s="384">
        <v>0</v>
      </c>
      <c r="J664" s="383">
        <v>2166</v>
      </c>
      <c r="K664" s="383">
        <v>2182</v>
      </c>
    </row>
    <row r="665" spans="1:11" x14ac:dyDescent="0.3">
      <c r="A665" t="s">
        <v>2223</v>
      </c>
      <c r="B665" t="s">
        <v>2773</v>
      </c>
      <c r="C665" t="s">
        <v>2808</v>
      </c>
      <c r="D665" s="383">
        <v>1645</v>
      </c>
      <c r="E665" s="384">
        <v>216149939.94</v>
      </c>
      <c r="F665" s="384">
        <v>0</v>
      </c>
      <c r="G665" s="384">
        <v>0</v>
      </c>
      <c r="H665" s="384">
        <v>0</v>
      </c>
      <c r="I665" s="384">
        <v>0</v>
      </c>
      <c r="J665" s="383">
        <v>1575</v>
      </c>
      <c r="K665" s="383">
        <v>1577</v>
      </c>
    </row>
    <row r="666" spans="1:11" x14ac:dyDescent="0.3">
      <c r="A666" t="s">
        <v>2223</v>
      </c>
      <c r="B666" t="s">
        <v>2773</v>
      </c>
      <c r="C666" t="s">
        <v>2809</v>
      </c>
      <c r="D666" s="383">
        <v>795</v>
      </c>
      <c r="E666" s="384">
        <v>99526827.5</v>
      </c>
      <c r="F666" s="384">
        <v>0</v>
      </c>
      <c r="G666" s="384">
        <v>0</v>
      </c>
      <c r="H666" s="384">
        <v>0</v>
      </c>
      <c r="I666" s="384">
        <v>0</v>
      </c>
      <c r="J666" s="383">
        <v>736</v>
      </c>
      <c r="K666" s="383">
        <v>745</v>
      </c>
    </row>
    <row r="667" spans="1:11" x14ac:dyDescent="0.3">
      <c r="A667" t="s">
        <v>2223</v>
      </c>
      <c r="B667" t="s">
        <v>2773</v>
      </c>
      <c r="C667" t="s">
        <v>2810</v>
      </c>
      <c r="D667" s="383">
        <v>20562</v>
      </c>
      <c r="E667" s="384">
        <v>693652003.47000003</v>
      </c>
      <c r="F667" s="384">
        <v>0</v>
      </c>
      <c r="G667" s="384">
        <v>0</v>
      </c>
      <c r="H667" s="384">
        <v>0</v>
      </c>
      <c r="I667" s="384">
        <v>0</v>
      </c>
      <c r="J667" s="383">
        <v>18928</v>
      </c>
      <c r="K667" s="383">
        <v>19388</v>
      </c>
    </row>
    <row r="668" spans="1:11" x14ac:dyDescent="0.3">
      <c r="A668" t="s">
        <v>2223</v>
      </c>
      <c r="B668" t="s">
        <v>2773</v>
      </c>
      <c r="C668" t="s">
        <v>2811</v>
      </c>
      <c r="D668" s="383">
        <v>8315</v>
      </c>
      <c r="E668" s="384">
        <v>558978581.83000004</v>
      </c>
      <c r="F668" s="384">
        <v>0</v>
      </c>
      <c r="G668" s="384">
        <v>0</v>
      </c>
      <c r="H668" s="384">
        <v>0</v>
      </c>
      <c r="I668" s="384">
        <v>0</v>
      </c>
      <c r="J668" s="383">
        <v>7607</v>
      </c>
      <c r="K668" s="383">
        <v>7706</v>
      </c>
    </row>
    <row r="669" spans="1:11" x14ac:dyDescent="0.3">
      <c r="A669" t="s">
        <v>2223</v>
      </c>
      <c r="B669" t="s">
        <v>2773</v>
      </c>
      <c r="C669" t="s">
        <v>2812</v>
      </c>
      <c r="D669" s="383">
        <v>9989</v>
      </c>
      <c r="E669" s="384">
        <v>822413008.19000006</v>
      </c>
      <c r="F669" s="384">
        <v>0</v>
      </c>
      <c r="G669" s="384">
        <v>0</v>
      </c>
      <c r="H669" s="384">
        <v>0</v>
      </c>
      <c r="I669" s="384">
        <v>0</v>
      </c>
      <c r="J669" s="383">
        <v>9156</v>
      </c>
      <c r="K669" s="383">
        <v>9275</v>
      </c>
    </row>
    <row r="670" spans="1:11" x14ac:dyDescent="0.3">
      <c r="A670" t="s">
        <v>2223</v>
      </c>
      <c r="B670" t="s">
        <v>2773</v>
      </c>
      <c r="C670" t="s">
        <v>2813</v>
      </c>
      <c r="D670" s="383">
        <v>10162</v>
      </c>
      <c r="E670" s="384">
        <v>998834542.5</v>
      </c>
      <c r="F670" s="384">
        <v>0</v>
      </c>
      <c r="G670" s="384">
        <v>0</v>
      </c>
      <c r="H670" s="384">
        <v>0</v>
      </c>
      <c r="I670" s="384">
        <v>0</v>
      </c>
      <c r="J670" s="383">
        <v>9441</v>
      </c>
      <c r="K670" s="383">
        <v>9621</v>
      </c>
    </row>
    <row r="671" spans="1:11" x14ac:dyDescent="0.3">
      <c r="A671" t="s">
        <v>2223</v>
      </c>
      <c r="B671" t="s">
        <v>2773</v>
      </c>
      <c r="C671" t="s">
        <v>2814</v>
      </c>
      <c r="D671" s="383">
        <v>10757</v>
      </c>
      <c r="E671" s="384">
        <v>1251273529.9300001</v>
      </c>
      <c r="F671" s="384">
        <v>0</v>
      </c>
      <c r="G671" s="384">
        <v>0</v>
      </c>
      <c r="H671" s="384">
        <v>0</v>
      </c>
      <c r="I671" s="384">
        <v>0</v>
      </c>
      <c r="J671" s="383">
        <v>10114</v>
      </c>
      <c r="K671" s="383">
        <v>10308</v>
      </c>
    </row>
    <row r="672" spans="1:11" x14ac:dyDescent="0.3">
      <c r="A672" t="s">
        <v>2223</v>
      </c>
      <c r="B672" t="s">
        <v>2773</v>
      </c>
      <c r="C672" t="s">
        <v>2815</v>
      </c>
      <c r="D672" s="383">
        <v>5182</v>
      </c>
      <c r="E672" s="384">
        <v>691545882.54999995</v>
      </c>
      <c r="F672" s="384">
        <v>0</v>
      </c>
      <c r="G672" s="384">
        <v>0</v>
      </c>
      <c r="H672" s="384">
        <v>0</v>
      </c>
      <c r="I672" s="384">
        <v>0</v>
      </c>
      <c r="J672" s="383">
        <v>5022</v>
      </c>
      <c r="K672" s="383">
        <v>5067</v>
      </c>
    </row>
    <row r="673" spans="1:11" x14ac:dyDescent="0.3">
      <c r="A673" t="s">
        <v>2223</v>
      </c>
      <c r="B673" t="s">
        <v>2773</v>
      </c>
      <c r="C673" t="s">
        <v>2816</v>
      </c>
      <c r="D673" s="383">
        <v>4420</v>
      </c>
      <c r="E673" s="384">
        <v>641323037.74000001</v>
      </c>
      <c r="F673" s="384">
        <v>0</v>
      </c>
      <c r="G673" s="384">
        <v>0</v>
      </c>
      <c r="H673" s="384">
        <v>0</v>
      </c>
      <c r="I673" s="384">
        <v>0</v>
      </c>
      <c r="J673" s="383">
        <v>4332</v>
      </c>
      <c r="K673" s="383">
        <v>4353</v>
      </c>
    </row>
    <row r="674" spans="1:11" x14ac:dyDescent="0.3">
      <c r="A674" t="s">
        <v>2223</v>
      </c>
      <c r="B674" t="s">
        <v>2773</v>
      </c>
      <c r="C674" t="s">
        <v>2817</v>
      </c>
      <c r="D674" s="383">
        <v>2851</v>
      </c>
      <c r="E674" s="384">
        <v>427292776.27999997</v>
      </c>
      <c r="F674" s="384">
        <v>0</v>
      </c>
      <c r="G674" s="384">
        <v>0</v>
      </c>
      <c r="H674" s="384">
        <v>0</v>
      </c>
      <c r="I674" s="384">
        <v>0</v>
      </c>
      <c r="J674" s="383">
        <v>2804</v>
      </c>
      <c r="K674" s="383">
        <v>2822</v>
      </c>
    </row>
    <row r="675" spans="1:11" x14ac:dyDescent="0.3">
      <c r="A675" t="s">
        <v>2223</v>
      </c>
      <c r="B675" t="s">
        <v>2773</v>
      </c>
      <c r="C675" t="s">
        <v>2818</v>
      </c>
      <c r="D675" s="383">
        <v>1528</v>
      </c>
      <c r="E675" s="384">
        <v>226307234.41999999</v>
      </c>
      <c r="F675" s="384">
        <v>0</v>
      </c>
      <c r="G675" s="384">
        <v>0</v>
      </c>
      <c r="H675" s="384">
        <v>0</v>
      </c>
      <c r="I675" s="384">
        <v>0</v>
      </c>
      <c r="J675" s="383">
        <v>1513</v>
      </c>
      <c r="K675" s="383">
        <v>1517</v>
      </c>
    </row>
    <row r="676" spans="1:11" x14ac:dyDescent="0.3">
      <c r="A676" t="s">
        <v>2223</v>
      </c>
      <c r="B676" t="s">
        <v>2773</v>
      </c>
      <c r="C676" t="s">
        <v>2819</v>
      </c>
      <c r="D676" s="383">
        <v>21137</v>
      </c>
      <c r="E676" s="384">
        <v>667974672.09000003</v>
      </c>
      <c r="F676" s="384">
        <v>0</v>
      </c>
      <c r="G676" s="384">
        <v>0</v>
      </c>
      <c r="H676" s="384">
        <v>0</v>
      </c>
      <c r="I676" s="384">
        <v>0</v>
      </c>
      <c r="J676" s="383">
        <v>19145</v>
      </c>
      <c r="K676" s="383">
        <v>19601</v>
      </c>
    </row>
    <row r="677" spans="1:11" x14ac:dyDescent="0.3">
      <c r="A677" t="s">
        <v>2223</v>
      </c>
      <c r="B677" t="s">
        <v>2773</v>
      </c>
      <c r="C677" t="s">
        <v>2820</v>
      </c>
      <c r="D677" s="383">
        <v>8268</v>
      </c>
      <c r="E677" s="384">
        <v>524340878.70999998</v>
      </c>
      <c r="F677" s="384">
        <v>0</v>
      </c>
      <c r="G677" s="384">
        <v>0</v>
      </c>
      <c r="H677" s="384">
        <v>0</v>
      </c>
      <c r="I677" s="384">
        <v>0</v>
      </c>
      <c r="J677" s="383">
        <v>7384</v>
      </c>
      <c r="K677" s="383">
        <v>7488</v>
      </c>
    </row>
    <row r="678" spans="1:11" x14ac:dyDescent="0.3">
      <c r="A678" t="s">
        <v>2223</v>
      </c>
      <c r="B678" t="s">
        <v>2773</v>
      </c>
      <c r="C678" t="s">
        <v>2821</v>
      </c>
      <c r="D678" s="383">
        <v>9776</v>
      </c>
      <c r="E678" s="384">
        <v>757070002.45000005</v>
      </c>
      <c r="F678" s="384">
        <v>0</v>
      </c>
      <c r="G678" s="384">
        <v>0</v>
      </c>
      <c r="H678" s="384">
        <v>0</v>
      </c>
      <c r="I678" s="384">
        <v>0</v>
      </c>
      <c r="J678" s="383">
        <v>8678</v>
      </c>
      <c r="K678" s="383">
        <v>8795</v>
      </c>
    </row>
    <row r="679" spans="1:11" x14ac:dyDescent="0.3">
      <c r="A679" t="s">
        <v>2223</v>
      </c>
      <c r="B679" t="s">
        <v>2773</v>
      </c>
      <c r="C679" t="s">
        <v>2822</v>
      </c>
      <c r="D679" s="383">
        <v>10337</v>
      </c>
      <c r="E679" s="384">
        <v>940629411.65999997</v>
      </c>
      <c r="F679" s="384">
        <v>0</v>
      </c>
      <c r="G679" s="384">
        <v>0</v>
      </c>
      <c r="H679" s="384">
        <v>0</v>
      </c>
      <c r="I679" s="384">
        <v>0</v>
      </c>
      <c r="J679" s="383">
        <v>9051</v>
      </c>
      <c r="K679" s="383">
        <v>9186</v>
      </c>
    </row>
    <row r="680" spans="1:11" x14ac:dyDescent="0.3">
      <c r="A680" t="s">
        <v>2223</v>
      </c>
      <c r="B680" t="s">
        <v>2773</v>
      </c>
      <c r="C680" t="s">
        <v>2823</v>
      </c>
      <c r="D680" s="383">
        <v>11301</v>
      </c>
      <c r="E680" s="384">
        <v>1221590577.02</v>
      </c>
      <c r="F680" s="384">
        <v>0</v>
      </c>
      <c r="G680" s="384">
        <v>0</v>
      </c>
      <c r="H680" s="384">
        <v>0</v>
      </c>
      <c r="I680" s="384">
        <v>0</v>
      </c>
      <c r="J680" s="383">
        <v>9877</v>
      </c>
      <c r="K680" s="383">
        <v>10027</v>
      </c>
    </row>
    <row r="681" spans="1:11" x14ac:dyDescent="0.3">
      <c r="A681" t="s">
        <v>2223</v>
      </c>
      <c r="B681" t="s">
        <v>2773</v>
      </c>
      <c r="C681" t="s">
        <v>2824</v>
      </c>
      <c r="D681" s="383">
        <v>5470</v>
      </c>
      <c r="E681" s="384">
        <v>726612848.58000004</v>
      </c>
      <c r="F681" s="384">
        <v>0</v>
      </c>
      <c r="G681" s="384">
        <v>0</v>
      </c>
      <c r="H681" s="384">
        <v>0</v>
      </c>
      <c r="I681" s="384">
        <v>0</v>
      </c>
      <c r="J681" s="383">
        <v>5112</v>
      </c>
      <c r="K681" s="383">
        <v>5147</v>
      </c>
    </row>
    <row r="682" spans="1:11" x14ac:dyDescent="0.3">
      <c r="A682" t="s">
        <v>2223</v>
      </c>
      <c r="B682" t="s">
        <v>2773</v>
      </c>
      <c r="C682" t="s">
        <v>2825</v>
      </c>
      <c r="D682" s="383">
        <v>4602</v>
      </c>
      <c r="E682" s="384">
        <v>681640032.38999999</v>
      </c>
      <c r="F682" s="384">
        <v>0</v>
      </c>
      <c r="G682" s="384">
        <v>0</v>
      </c>
      <c r="H682" s="384">
        <v>0</v>
      </c>
      <c r="I682" s="384">
        <v>0</v>
      </c>
      <c r="J682" s="383">
        <v>4478</v>
      </c>
      <c r="K682" s="383">
        <v>4499</v>
      </c>
    </row>
    <row r="683" spans="1:11" x14ac:dyDescent="0.3">
      <c r="A683" t="s">
        <v>2223</v>
      </c>
      <c r="B683" t="s">
        <v>2773</v>
      </c>
      <c r="C683" t="s">
        <v>2826</v>
      </c>
      <c r="D683" s="383">
        <v>3136</v>
      </c>
      <c r="E683" s="384">
        <v>497392432.41000003</v>
      </c>
      <c r="F683" s="384">
        <v>0</v>
      </c>
      <c r="G683" s="384">
        <v>0</v>
      </c>
      <c r="H683" s="384">
        <v>0</v>
      </c>
      <c r="I683" s="384">
        <v>0</v>
      </c>
      <c r="J683" s="383">
        <v>3093</v>
      </c>
      <c r="K683" s="383">
        <v>3099</v>
      </c>
    </row>
    <row r="684" spans="1:11" x14ac:dyDescent="0.3">
      <c r="A684" t="s">
        <v>2223</v>
      </c>
      <c r="B684" t="s">
        <v>2773</v>
      </c>
      <c r="C684" t="s">
        <v>2827</v>
      </c>
      <c r="D684" s="383">
        <v>1470</v>
      </c>
      <c r="E684" s="384">
        <v>238628124.47</v>
      </c>
      <c r="F684" s="384">
        <v>0</v>
      </c>
      <c r="G684" s="384">
        <v>0</v>
      </c>
      <c r="H684" s="384">
        <v>0</v>
      </c>
      <c r="I684" s="384">
        <v>0</v>
      </c>
      <c r="J684" s="383">
        <v>1459</v>
      </c>
      <c r="K684" s="383">
        <v>1462</v>
      </c>
    </row>
    <row r="685" spans="1:11" x14ac:dyDescent="0.3">
      <c r="A685" t="s">
        <v>2223</v>
      </c>
      <c r="B685" t="s">
        <v>2773</v>
      </c>
      <c r="C685" t="s">
        <v>2828</v>
      </c>
      <c r="D685" s="383">
        <v>16682</v>
      </c>
      <c r="E685" s="384">
        <v>568079633.62</v>
      </c>
      <c r="F685" s="384">
        <v>0</v>
      </c>
      <c r="G685" s="384">
        <v>0</v>
      </c>
      <c r="H685" s="384">
        <v>0</v>
      </c>
      <c r="I685" s="384">
        <v>0</v>
      </c>
      <c r="J685" s="383">
        <v>15139</v>
      </c>
      <c r="K685" s="383">
        <v>15467</v>
      </c>
    </row>
    <row r="686" spans="1:11" x14ac:dyDescent="0.3">
      <c r="A686" t="s">
        <v>2223</v>
      </c>
      <c r="B686" t="s">
        <v>2773</v>
      </c>
      <c r="C686" t="s">
        <v>2829</v>
      </c>
      <c r="D686" s="383">
        <v>6295</v>
      </c>
      <c r="E686" s="384">
        <v>390175226.99000001</v>
      </c>
      <c r="F686" s="384">
        <v>0</v>
      </c>
      <c r="G686" s="384">
        <v>0</v>
      </c>
      <c r="H686" s="384">
        <v>0</v>
      </c>
      <c r="I686" s="384">
        <v>0</v>
      </c>
      <c r="J686" s="383">
        <v>5370</v>
      </c>
      <c r="K686" s="383">
        <v>5425</v>
      </c>
    </row>
    <row r="687" spans="1:11" x14ac:dyDescent="0.3">
      <c r="A687" t="s">
        <v>2223</v>
      </c>
      <c r="B687" t="s">
        <v>2773</v>
      </c>
      <c r="C687" t="s">
        <v>2830</v>
      </c>
      <c r="D687" s="383">
        <v>7727</v>
      </c>
      <c r="E687" s="384">
        <v>566762378.38999999</v>
      </c>
      <c r="F687" s="384">
        <v>0</v>
      </c>
      <c r="G687" s="384">
        <v>0</v>
      </c>
      <c r="H687" s="384">
        <v>0</v>
      </c>
      <c r="I687" s="384">
        <v>0</v>
      </c>
      <c r="J687" s="383">
        <v>6409</v>
      </c>
      <c r="K687" s="383">
        <v>6484</v>
      </c>
    </row>
    <row r="688" spans="1:11" x14ac:dyDescent="0.3">
      <c r="A688" t="s">
        <v>2223</v>
      </c>
      <c r="B688" t="s">
        <v>2773</v>
      </c>
      <c r="C688" t="s">
        <v>2831</v>
      </c>
      <c r="D688" s="383">
        <v>8760</v>
      </c>
      <c r="E688" s="384">
        <v>721743185.80999994</v>
      </c>
      <c r="F688" s="384">
        <v>0</v>
      </c>
      <c r="G688" s="384">
        <v>0</v>
      </c>
      <c r="H688" s="384">
        <v>0</v>
      </c>
      <c r="I688" s="384">
        <v>0</v>
      </c>
      <c r="J688" s="383">
        <v>7184</v>
      </c>
      <c r="K688" s="383">
        <v>7311</v>
      </c>
    </row>
    <row r="689" spans="1:11" x14ac:dyDescent="0.3">
      <c r="A689" t="s">
        <v>2223</v>
      </c>
      <c r="B689" t="s">
        <v>2773</v>
      </c>
      <c r="C689" t="s">
        <v>2832</v>
      </c>
      <c r="D689" s="383">
        <v>9778</v>
      </c>
      <c r="E689" s="384">
        <v>958797289.19000006</v>
      </c>
      <c r="F689" s="384">
        <v>0</v>
      </c>
      <c r="G689" s="384">
        <v>0</v>
      </c>
      <c r="H689" s="384">
        <v>0</v>
      </c>
      <c r="I689" s="384">
        <v>0</v>
      </c>
      <c r="J689" s="383">
        <v>8228</v>
      </c>
      <c r="K689" s="383">
        <v>8382</v>
      </c>
    </row>
    <row r="690" spans="1:11" x14ac:dyDescent="0.3">
      <c r="A690" t="s">
        <v>2223</v>
      </c>
      <c r="B690" t="s">
        <v>2773</v>
      </c>
      <c r="C690" t="s">
        <v>2833</v>
      </c>
      <c r="D690" s="383">
        <v>4544</v>
      </c>
      <c r="E690" s="384">
        <v>555468604.17999995</v>
      </c>
      <c r="F690" s="384">
        <v>0</v>
      </c>
      <c r="G690" s="384">
        <v>0</v>
      </c>
      <c r="H690" s="384">
        <v>0</v>
      </c>
      <c r="I690" s="384">
        <v>0</v>
      </c>
      <c r="J690" s="383">
        <v>4088</v>
      </c>
      <c r="K690" s="383">
        <v>4122</v>
      </c>
    </row>
    <row r="691" spans="1:11" x14ac:dyDescent="0.3">
      <c r="A691" t="s">
        <v>2223</v>
      </c>
      <c r="B691" t="s">
        <v>2773</v>
      </c>
      <c r="C691" t="s">
        <v>2834</v>
      </c>
      <c r="D691" s="383">
        <v>3752</v>
      </c>
      <c r="E691" s="384">
        <v>496278758.13</v>
      </c>
      <c r="F691" s="384">
        <v>0</v>
      </c>
      <c r="G691" s="384">
        <v>0</v>
      </c>
      <c r="H691" s="384">
        <v>0</v>
      </c>
      <c r="I691" s="384">
        <v>0</v>
      </c>
      <c r="J691" s="383">
        <v>3501</v>
      </c>
      <c r="K691" s="383">
        <v>3513</v>
      </c>
    </row>
    <row r="692" spans="1:11" x14ac:dyDescent="0.3">
      <c r="A692" t="s">
        <v>2223</v>
      </c>
      <c r="B692" t="s">
        <v>2773</v>
      </c>
      <c r="C692" t="s">
        <v>2835</v>
      </c>
      <c r="D692" s="383">
        <v>2576</v>
      </c>
      <c r="E692" s="384">
        <v>346756205.06</v>
      </c>
      <c r="F692" s="384">
        <v>0</v>
      </c>
      <c r="G692" s="384">
        <v>0</v>
      </c>
      <c r="H692" s="384">
        <v>0</v>
      </c>
      <c r="I692" s="384">
        <v>0</v>
      </c>
      <c r="J692" s="383">
        <v>2410</v>
      </c>
      <c r="K692" s="383">
        <v>2420</v>
      </c>
    </row>
    <row r="693" spans="1:11" x14ac:dyDescent="0.3">
      <c r="A693" t="s">
        <v>2223</v>
      </c>
      <c r="B693" t="s">
        <v>2773</v>
      </c>
      <c r="C693" t="s">
        <v>2836</v>
      </c>
      <c r="D693" s="383">
        <v>1232</v>
      </c>
      <c r="E693" s="384">
        <v>152971907.58000001</v>
      </c>
      <c r="F693" s="384">
        <v>0</v>
      </c>
      <c r="G693" s="384">
        <v>0</v>
      </c>
      <c r="H693" s="384">
        <v>0</v>
      </c>
      <c r="I693" s="384">
        <v>0</v>
      </c>
      <c r="J693" s="383">
        <v>1122</v>
      </c>
      <c r="K693" s="383">
        <v>1128</v>
      </c>
    </row>
    <row r="694" spans="1:11" x14ac:dyDescent="0.3">
      <c r="A694" t="s">
        <v>2223</v>
      </c>
      <c r="B694" t="s">
        <v>2773</v>
      </c>
      <c r="C694" t="s">
        <v>2837</v>
      </c>
      <c r="D694" s="383">
        <v>14731</v>
      </c>
      <c r="E694" s="384">
        <v>483666306.79000002</v>
      </c>
      <c r="F694" s="384">
        <v>0</v>
      </c>
      <c r="G694" s="384">
        <v>0</v>
      </c>
      <c r="H694" s="384">
        <v>0</v>
      </c>
      <c r="I694" s="384">
        <v>0</v>
      </c>
      <c r="J694" s="383">
        <v>13197</v>
      </c>
      <c r="K694" s="383">
        <v>13512</v>
      </c>
    </row>
    <row r="695" spans="1:11" x14ac:dyDescent="0.3">
      <c r="A695" t="s">
        <v>2223</v>
      </c>
      <c r="B695" t="s">
        <v>2773</v>
      </c>
      <c r="C695" t="s">
        <v>2838</v>
      </c>
      <c r="D695" s="383">
        <v>5441</v>
      </c>
      <c r="E695" s="384">
        <v>323349029.10000002</v>
      </c>
      <c r="F695" s="384">
        <v>0</v>
      </c>
      <c r="G695" s="384">
        <v>0</v>
      </c>
      <c r="H695" s="384">
        <v>0</v>
      </c>
      <c r="I695" s="384">
        <v>0</v>
      </c>
      <c r="J695" s="383">
        <v>4517</v>
      </c>
      <c r="K695" s="383">
        <v>4571</v>
      </c>
    </row>
    <row r="696" spans="1:11" x14ac:dyDescent="0.3">
      <c r="A696" t="s">
        <v>2223</v>
      </c>
      <c r="B696" t="s">
        <v>2773</v>
      </c>
      <c r="C696" t="s">
        <v>2839</v>
      </c>
      <c r="D696" s="383">
        <v>6381</v>
      </c>
      <c r="E696" s="384">
        <v>427724863.29000002</v>
      </c>
      <c r="F696" s="384">
        <v>0</v>
      </c>
      <c r="G696" s="384">
        <v>0</v>
      </c>
      <c r="H696" s="384">
        <v>0</v>
      </c>
      <c r="I696" s="384">
        <v>0</v>
      </c>
      <c r="J696" s="383">
        <v>5054</v>
      </c>
      <c r="K696" s="383">
        <v>5135</v>
      </c>
    </row>
    <row r="697" spans="1:11" x14ac:dyDescent="0.3">
      <c r="A697" t="s">
        <v>2223</v>
      </c>
      <c r="B697" t="s">
        <v>2773</v>
      </c>
      <c r="C697" t="s">
        <v>2840</v>
      </c>
      <c r="D697" s="383">
        <v>7435</v>
      </c>
      <c r="E697" s="384">
        <v>564529525.99000001</v>
      </c>
      <c r="F697" s="384">
        <v>0</v>
      </c>
      <c r="G697" s="384">
        <v>0</v>
      </c>
      <c r="H697" s="384">
        <v>0</v>
      </c>
      <c r="I697" s="384">
        <v>0</v>
      </c>
      <c r="J697" s="383">
        <v>5773</v>
      </c>
      <c r="K697" s="383">
        <v>5864</v>
      </c>
    </row>
    <row r="698" spans="1:11" x14ac:dyDescent="0.3">
      <c r="A698" t="s">
        <v>2223</v>
      </c>
      <c r="B698" t="s">
        <v>2773</v>
      </c>
      <c r="C698" t="s">
        <v>2841</v>
      </c>
      <c r="D698" s="383">
        <v>7494</v>
      </c>
      <c r="E698" s="384">
        <v>671374393.71000004</v>
      </c>
      <c r="F698" s="384">
        <v>0</v>
      </c>
      <c r="G698" s="384">
        <v>0</v>
      </c>
      <c r="H698" s="384">
        <v>0</v>
      </c>
      <c r="I698" s="384">
        <v>0</v>
      </c>
      <c r="J698" s="383">
        <v>5946</v>
      </c>
      <c r="K698" s="383">
        <v>6056</v>
      </c>
    </row>
    <row r="699" spans="1:11" x14ac:dyDescent="0.3">
      <c r="A699" t="s">
        <v>2223</v>
      </c>
      <c r="B699" t="s">
        <v>2773</v>
      </c>
      <c r="C699" t="s">
        <v>2842</v>
      </c>
      <c r="D699" s="383">
        <v>3464</v>
      </c>
      <c r="E699" s="384">
        <v>375068558.72000003</v>
      </c>
      <c r="F699" s="384">
        <v>0</v>
      </c>
      <c r="G699" s="384">
        <v>0</v>
      </c>
      <c r="H699" s="384">
        <v>0</v>
      </c>
      <c r="I699" s="384">
        <v>0</v>
      </c>
      <c r="J699" s="383">
        <v>2957</v>
      </c>
      <c r="K699" s="383">
        <v>2975</v>
      </c>
    </row>
    <row r="700" spans="1:11" x14ac:dyDescent="0.3">
      <c r="A700" t="s">
        <v>2223</v>
      </c>
      <c r="B700" t="s">
        <v>2773</v>
      </c>
      <c r="C700" t="s">
        <v>2843</v>
      </c>
      <c r="D700" s="383">
        <v>2599</v>
      </c>
      <c r="E700" s="384">
        <v>324039097.56</v>
      </c>
      <c r="F700" s="384">
        <v>0</v>
      </c>
      <c r="G700" s="384">
        <v>0</v>
      </c>
      <c r="H700" s="384">
        <v>0</v>
      </c>
      <c r="I700" s="384">
        <v>0</v>
      </c>
      <c r="J700" s="383">
        <v>2367</v>
      </c>
      <c r="K700" s="383">
        <v>2379</v>
      </c>
    </row>
    <row r="701" spans="1:11" x14ac:dyDescent="0.3">
      <c r="A701" t="s">
        <v>2223</v>
      </c>
      <c r="B701" t="s">
        <v>2773</v>
      </c>
      <c r="C701" t="s">
        <v>2844</v>
      </c>
      <c r="D701" s="383">
        <v>1667</v>
      </c>
      <c r="E701" s="384">
        <v>225564063.99000001</v>
      </c>
      <c r="F701" s="384">
        <v>0</v>
      </c>
      <c r="G701" s="384">
        <v>0</v>
      </c>
      <c r="H701" s="384">
        <v>0</v>
      </c>
      <c r="I701" s="384">
        <v>0</v>
      </c>
      <c r="J701" s="383">
        <v>1569</v>
      </c>
      <c r="K701" s="383">
        <v>1578</v>
      </c>
    </row>
    <row r="702" spans="1:11" x14ac:dyDescent="0.3">
      <c r="A702" t="s">
        <v>2223</v>
      </c>
      <c r="B702" t="s">
        <v>2773</v>
      </c>
      <c r="C702" t="s">
        <v>2845</v>
      </c>
      <c r="D702" s="383">
        <v>737</v>
      </c>
      <c r="E702" s="384">
        <v>100278558.09</v>
      </c>
      <c r="F702" s="384">
        <v>0</v>
      </c>
      <c r="G702" s="384">
        <v>0</v>
      </c>
      <c r="H702" s="384">
        <v>0</v>
      </c>
      <c r="I702" s="384">
        <v>0</v>
      </c>
      <c r="J702" s="383">
        <v>690</v>
      </c>
      <c r="K702" s="383">
        <v>697</v>
      </c>
    </row>
    <row r="703" spans="1:11" x14ac:dyDescent="0.3">
      <c r="A703" t="s">
        <v>2223</v>
      </c>
      <c r="B703" t="s">
        <v>2773</v>
      </c>
      <c r="C703" t="s">
        <v>2846</v>
      </c>
      <c r="D703" s="383">
        <v>26213</v>
      </c>
      <c r="E703" s="384">
        <v>925278667.59000003</v>
      </c>
      <c r="F703" s="384">
        <v>0</v>
      </c>
      <c r="G703" s="384">
        <v>0</v>
      </c>
      <c r="H703" s="384">
        <v>0</v>
      </c>
      <c r="I703" s="384">
        <v>0</v>
      </c>
      <c r="J703" s="383">
        <v>23998</v>
      </c>
      <c r="K703" s="383">
        <v>24470</v>
      </c>
    </row>
    <row r="704" spans="1:11" x14ac:dyDescent="0.3">
      <c r="A704" t="s">
        <v>2223</v>
      </c>
      <c r="B704" t="s">
        <v>2773</v>
      </c>
      <c r="C704" t="s">
        <v>2847</v>
      </c>
      <c r="D704" s="383">
        <v>9828</v>
      </c>
      <c r="E704" s="384">
        <v>649564845.63999999</v>
      </c>
      <c r="F704" s="384">
        <v>0</v>
      </c>
      <c r="G704" s="384">
        <v>0</v>
      </c>
      <c r="H704" s="384">
        <v>0</v>
      </c>
      <c r="I704" s="384">
        <v>0</v>
      </c>
      <c r="J704" s="383">
        <v>8725</v>
      </c>
      <c r="K704" s="383">
        <v>8828</v>
      </c>
    </row>
    <row r="705" spans="1:11" x14ac:dyDescent="0.3">
      <c r="A705" t="s">
        <v>2223</v>
      </c>
      <c r="B705" t="s">
        <v>2773</v>
      </c>
      <c r="C705" t="s">
        <v>2848</v>
      </c>
      <c r="D705" s="383">
        <v>11910</v>
      </c>
      <c r="E705" s="384">
        <v>907833015.71000004</v>
      </c>
      <c r="F705" s="384">
        <v>0</v>
      </c>
      <c r="G705" s="384">
        <v>0</v>
      </c>
      <c r="H705" s="384">
        <v>0</v>
      </c>
      <c r="I705" s="384">
        <v>0</v>
      </c>
      <c r="J705" s="383">
        <v>10296</v>
      </c>
      <c r="K705" s="383">
        <v>10422</v>
      </c>
    </row>
    <row r="706" spans="1:11" x14ac:dyDescent="0.3">
      <c r="A706" t="s">
        <v>2223</v>
      </c>
      <c r="B706" t="s">
        <v>2773</v>
      </c>
      <c r="C706" t="s">
        <v>2849</v>
      </c>
      <c r="D706" s="383">
        <v>13860</v>
      </c>
      <c r="E706" s="384">
        <v>1189944298.3399999</v>
      </c>
      <c r="F706" s="384">
        <v>0</v>
      </c>
      <c r="G706" s="384">
        <v>0</v>
      </c>
      <c r="H706" s="384">
        <v>0</v>
      </c>
      <c r="I706" s="384">
        <v>0</v>
      </c>
      <c r="J706" s="383">
        <v>11776</v>
      </c>
      <c r="K706" s="383">
        <v>11962</v>
      </c>
    </row>
    <row r="707" spans="1:11" x14ac:dyDescent="0.3">
      <c r="A707" t="s">
        <v>2223</v>
      </c>
      <c r="B707" t="s">
        <v>2773</v>
      </c>
      <c r="C707" t="s">
        <v>2850</v>
      </c>
      <c r="D707" s="383">
        <v>15565</v>
      </c>
      <c r="E707" s="384">
        <v>1592510341.5799999</v>
      </c>
      <c r="F707" s="384">
        <v>0</v>
      </c>
      <c r="G707" s="384">
        <v>0</v>
      </c>
      <c r="H707" s="384">
        <v>0</v>
      </c>
      <c r="I707" s="384">
        <v>0</v>
      </c>
      <c r="J707" s="383">
        <v>13375</v>
      </c>
      <c r="K707" s="383">
        <v>13613</v>
      </c>
    </row>
    <row r="708" spans="1:11" x14ac:dyDescent="0.3">
      <c r="A708" t="s">
        <v>2223</v>
      </c>
      <c r="B708" t="s">
        <v>2773</v>
      </c>
      <c r="C708" t="s">
        <v>2851</v>
      </c>
      <c r="D708" s="383">
        <v>7070</v>
      </c>
      <c r="E708" s="384">
        <v>867899400.35000002</v>
      </c>
      <c r="F708" s="384">
        <v>0</v>
      </c>
      <c r="G708" s="384">
        <v>0</v>
      </c>
      <c r="H708" s="384">
        <v>0</v>
      </c>
      <c r="I708" s="384">
        <v>0</v>
      </c>
      <c r="J708" s="383">
        <v>6470</v>
      </c>
      <c r="K708" s="383">
        <v>6543</v>
      </c>
    </row>
    <row r="709" spans="1:11" x14ac:dyDescent="0.3">
      <c r="A709" t="s">
        <v>2223</v>
      </c>
      <c r="B709" t="s">
        <v>2773</v>
      </c>
      <c r="C709" t="s">
        <v>2852</v>
      </c>
      <c r="D709" s="383">
        <v>5850</v>
      </c>
      <c r="E709" s="384">
        <v>799563649.38999999</v>
      </c>
      <c r="F709" s="384">
        <v>0</v>
      </c>
      <c r="G709" s="384">
        <v>0</v>
      </c>
      <c r="H709" s="384">
        <v>0</v>
      </c>
      <c r="I709" s="384">
        <v>0</v>
      </c>
      <c r="J709" s="383">
        <v>5486</v>
      </c>
      <c r="K709" s="383">
        <v>5523</v>
      </c>
    </row>
    <row r="710" spans="1:11" x14ac:dyDescent="0.3">
      <c r="A710" t="s">
        <v>2223</v>
      </c>
      <c r="B710" t="s">
        <v>2773</v>
      </c>
      <c r="C710" t="s">
        <v>2853</v>
      </c>
      <c r="D710" s="383">
        <v>3263</v>
      </c>
      <c r="E710" s="384">
        <v>479980656.69</v>
      </c>
      <c r="F710" s="384">
        <v>0</v>
      </c>
      <c r="G710" s="384">
        <v>0</v>
      </c>
      <c r="H710" s="384">
        <v>0</v>
      </c>
      <c r="I710" s="384">
        <v>0</v>
      </c>
      <c r="J710" s="383">
        <v>3167</v>
      </c>
      <c r="K710" s="383">
        <v>3180</v>
      </c>
    </row>
    <row r="711" spans="1:11" x14ac:dyDescent="0.3">
      <c r="A711" t="s">
        <v>2223</v>
      </c>
      <c r="B711" t="s">
        <v>2773</v>
      </c>
      <c r="C711" t="s">
        <v>2854</v>
      </c>
      <c r="D711" s="383">
        <v>1512</v>
      </c>
      <c r="E711" s="384">
        <v>232238158.22</v>
      </c>
      <c r="F711" s="384">
        <v>0</v>
      </c>
      <c r="G711" s="384">
        <v>0</v>
      </c>
      <c r="H711" s="384">
        <v>0</v>
      </c>
      <c r="I711" s="384">
        <v>0</v>
      </c>
      <c r="J711" s="383">
        <v>1481</v>
      </c>
      <c r="K711" s="383">
        <v>1489</v>
      </c>
    </row>
    <row r="712" spans="1:11" x14ac:dyDescent="0.3">
      <c r="A712" t="s">
        <v>2223</v>
      </c>
      <c r="B712" t="s">
        <v>2773</v>
      </c>
      <c r="C712" t="s">
        <v>2855</v>
      </c>
      <c r="D712" s="383">
        <v>31738</v>
      </c>
      <c r="E712" s="384">
        <v>1035869397.39</v>
      </c>
      <c r="F712" s="384">
        <v>0</v>
      </c>
      <c r="G712" s="384">
        <v>0</v>
      </c>
      <c r="H712" s="384">
        <v>0</v>
      </c>
      <c r="I712" s="384">
        <v>0</v>
      </c>
      <c r="J712" s="383">
        <v>28398</v>
      </c>
      <c r="K712" s="383">
        <v>29033</v>
      </c>
    </row>
    <row r="713" spans="1:11" x14ac:dyDescent="0.3">
      <c r="A713" t="s">
        <v>2223</v>
      </c>
      <c r="B713" t="s">
        <v>2773</v>
      </c>
      <c r="C713" t="s">
        <v>2856</v>
      </c>
      <c r="D713" s="383">
        <v>11890</v>
      </c>
      <c r="E713" s="384">
        <v>754947535.00999999</v>
      </c>
      <c r="F713" s="384">
        <v>0</v>
      </c>
      <c r="G713" s="384">
        <v>0</v>
      </c>
      <c r="H713" s="384">
        <v>0</v>
      </c>
      <c r="I713" s="384">
        <v>0</v>
      </c>
      <c r="J713" s="383">
        <v>10376</v>
      </c>
      <c r="K713" s="383">
        <v>10471</v>
      </c>
    </row>
    <row r="714" spans="1:11" x14ac:dyDescent="0.3">
      <c r="A714" t="s">
        <v>2223</v>
      </c>
      <c r="B714" t="s">
        <v>2773</v>
      </c>
      <c r="C714" t="s">
        <v>2857</v>
      </c>
      <c r="D714" s="383">
        <v>14091</v>
      </c>
      <c r="E714" s="384">
        <v>1079760143.1300001</v>
      </c>
      <c r="F714" s="384">
        <v>0</v>
      </c>
      <c r="G714" s="384">
        <v>0</v>
      </c>
      <c r="H714" s="384">
        <v>0</v>
      </c>
      <c r="I714" s="384">
        <v>0</v>
      </c>
      <c r="J714" s="383">
        <v>12057</v>
      </c>
      <c r="K714" s="383">
        <v>12212</v>
      </c>
    </row>
    <row r="715" spans="1:11" x14ac:dyDescent="0.3">
      <c r="A715" t="s">
        <v>2223</v>
      </c>
      <c r="B715" t="s">
        <v>2773</v>
      </c>
      <c r="C715" t="s">
        <v>2858</v>
      </c>
      <c r="D715" s="383">
        <v>16269</v>
      </c>
      <c r="E715" s="384">
        <v>1431611947.5899999</v>
      </c>
      <c r="F715" s="384">
        <v>0</v>
      </c>
      <c r="G715" s="384">
        <v>0</v>
      </c>
      <c r="H715" s="384">
        <v>0</v>
      </c>
      <c r="I715" s="384">
        <v>0</v>
      </c>
      <c r="J715" s="383">
        <v>13880</v>
      </c>
      <c r="K715" s="383">
        <v>14095</v>
      </c>
    </row>
    <row r="716" spans="1:11" x14ac:dyDescent="0.3">
      <c r="A716" t="s">
        <v>2223</v>
      </c>
      <c r="B716" t="s">
        <v>2773</v>
      </c>
      <c r="C716" t="s">
        <v>2859</v>
      </c>
      <c r="D716" s="383">
        <v>18749</v>
      </c>
      <c r="E716" s="384">
        <v>1922121600.29</v>
      </c>
      <c r="F716" s="384">
        <v>0</v>
      </c>
      <c r="G716" s="384">
        <v>0</v>
      </c>
      <c r="H716" s="384">
        <v>0</v>
      </c>
      <c r="I716" s="384">
        <v>0</v>
      </c>
      <c r="J716" s="383">
        <v>15764</v>
      </c>
      <c r="K716" s="383">
        <v>16026</v>
      </c>
    </row>
    <row r="717" spans="1:11" x14ac:dyDescent="0.3">
      <c r="A717" t="s">
        <v>2223</v>
      </c>
      <c r="B717" t="s">
        <v>2773</v>
      </c>
      <c r="C717" t="s">
        <v>2860</v>
      </c>
      <c r="D717" s="383">
        <v>9679</v>
      </c>
      <c r="E717" s="384">
        <v>1127720747.48</v>
      </c>
      <c r="F717" s="384">
        <v>0</v>
      </c>
      <c r="G717" s="384">
        <v>0</v>
      </c>
      <c r="H717" s="384">
        <v>0</v>
      </c>
      <c r="I717" s="384">
        <v>0</v>
      </c>
      <c r="J717" s="383">
        <v>8258</v>
      </c>
      <c r="K717" s="383">
        <v>8331</v>
      </c>
    </row>
    <row r="718" spans="1:11" x14ac:dyDescent="0.3">
      <c r="A718" t="s">
        <v>2223</v>
      </c>
      <c r="B718" t="s">
        <v>2773</v>
      </c>
      <c r="C718" t="s">
        <v>2861</v>
      </c>
      <c r="D718" s="383">
        <v>8230</v>
      </c>
      <c r="E718" s="384">
        <v>1038615807.45</v>
      </c>
      <c r="F718" s="384">
        <v>0</v>
      </c>
      <c r="G718" s="384">
        <v>0</v>
      </c>
      <c r="H718" s="384">
        <v>0</v>
      </c>
      <c r="I718" s="384">
        <v>0</v>
      </c>
      <c r="J718" s="383">
        <v>7123</v>
      </c>
      <c r="K718" s="383">
        <v>7141</v>
      </c>
    </row>
    <row r="719" spans="1:11" x14ac:dyDescent="0.3">
      <c r="A719" t="s">
        <v>2223</v>
      </c>
      <c r="B719" t="s">
        <v>2773</v>
      </c>
      <c r="C719" t="s">
        <v>2862</v>
      </c>
      <c r="D719" s="383">
        <v>4780</v>
      </c>
      <c r="E719" s="384">
        <v>641446914.75999999</v>
      </c>
      <c r="F719" s="384">
        <v>0</v>
      </c>
      <c r="G719" s="384">
        <v>0</v>
      </c>
      <c r="H719" s="384">
        <v>0</v>
      </c>
      <c r="I719" s="384">
        <v>0</v>
      </c>
      <c r="J719" s="383">
        <v>4336</v>
      </c>
      <c r="K719" s="383">
        <v>4362</v>
      </c>
    </row>
    <row r="720" spans="1:11" x14ac:dyDescent="0.3">
      <c r="A720" t="s">
        <v>2223</v>
      </c>
      <c r="B720" t="s">
        <v>2773</v>
      </c>
      <c r="C720" t="s">
        <v>2863</v>
      </c>
      <c r="D720" s="383">
        <v>1986</v>
      </c>
      <c r="E720" s="384">
        <v>298649324.80000001</v>
      </c>
      <c r="F720" s="384">
        <v>0</v>
      </c>
      <c r="G720" s="384">
        <v>0</v>
      </c>
      <c r="H720" s="384">
        <v>0</v>
      </c>
      <c r="I720" s="384">
        <v>0</v>
      </c>
      <c r="J720" s="383">
        <v>1904</v>
      </c>
      <c r="K720" s="383">
        <v>1911</v>
      </c>
    </row>
    <row r="721" spans="1:11" x14ac:dyDescent="0.3">
      <c r="A721" t="s">
        <v>2223</v>
      </c>
      <c r="B721" t="s">
        <v>2773</v>
      </c>
      <c r="C721" t="s">
        <v>2864</v>
      </c>
      <c r="D721" s="383">
        <v>39141</v>
      </c>
      <c r="E721" s="384">
        <v>1462213900.6400001</v>
      </c>
      <c r="F721" s="384">
        <v>0</v>
      </c>
      <c r="G721" s="384">
        <v>0</v>
      </c>
      <c r="H721" s="384">
        <v>0</v>
      </c>
      <c r="I721" s="384">
        <v>0</v>
      </c>
      <c r="J721" s="383">
        <v>35183</v>
      </c>
      <c r="K721" s="383">
        <v>35998</v>
      </c>
    </row>
    <row r="722" spans="1:11" x14ac:dyDescent="0.3">
      <c r="A722" t="s">
        <v>2223</v>
      </c>
      <c r="B722" t="s">
        <v>2773</v>
      </c>
      <c r="C722" t="s">
        <v>2865</v>
      </c>
      <c r="D722" s="383">
        <v>14335</v>
      </c>
      <c r="E722" s="384">
        <v>1051356142.5700001</v>
      </c>
      <c r="F722" s="384">
        <v>0</v>
      </c>
      <c r="G722" s="384">
        <v>0</v>
      </c>
      <c r="H722" s="384">
        <v>0</v>
      </c>
      <c r="I722" s="384">
        <v>0</v>
      </c>
      <c r="J722" s="383">
        <v>12329</v>
      </c>
      <c r="K722" s="383">
        <v>12472</v>
      </c>
    </row>
    <row r="723" spans="1:11" x14ac:dyDescent="0.3">
      <c r="A723" t="s">
        <v>2223</v>
      </c>
      <c r="B723" t="s">
        <v>2773</v>
      </c>
      <c r="C723" t="s">
        <v>2866</v>
      </c>
      <c r="D723" s="383">
        <v>16891</v>
      </c>
      <c r="E723" s="384">
        <v>1425411942.29</v>
      </c>
      <c r="F723" s="384">
        <v>0</v>
      </c>
      <c r="G723" s="384">
        <v>0</v>
      </c>
      <c r="H723" s="384">
        <v>0</v>
      </c>
      <c r="I723" s="384">
        <v>0</v>
      </c>
      <c r="J723" s="383">
        <v>14266</v>
      </c>
      <c r="K723" s="383">
        <v>14470</v>
      </c>
    </row>
    <row r="724" spans="1:11" x14ac:dyDescent="0.3">
      <c r="A724" t="s">
        <v>2223</v>
      </c>
      <c r="B724" t="s">
        <v>2773</v>
      </c>
      <c r="C724" t="s">
        <v>2867</v>
      </c>
      <c r="D724" s="383">
        <v>18750</v>
      </c>
      <c r="E724" s="384">
        <v>1771906265.77</v>
      </c>
      <c r="F724" s="384">
        <v>0</v>
      </c>
      <c r="G724" s="384">
        <v>0</v>
      </c>
      <c r="H724" s="384">
        <v>0</v>
      </c>
      <c r="I724" s="384">
        <v>0</v>
      </c>
      <c r="J724" s="383">
        <v>15539</v>
      </c>
      <c r="K724" s="383">
        <v>15798</v>
      </c>
    </row>
    <row r="725" spans="1:11" x14ac:dyDescent="0.3">
      <c r="A725" t="s">
        <v>2223</v>
      </c>
      <c r="B725" t="s">
        <v>2773</v>
      </c>
      <c r="C725" t="s">
        <v>2868</v>
      </c>
      <c r="D725" s="383">
        <v>22169</v>
      </c>
      <c r="E725" s="384">
        <v>2455345242.6799998</v>
      </c>
      <c r="F725" s="384">
        <v>0</v>
      </c>
      <c r="G725" s="384">
        <v>0</v>
      </c>
      <c r="H725" s="384">
        <v>0</v>
      </c>
      <c r="I725" s="384">
        <v>0</v>
      </c>
      <c r="J725" s="383">
        <v>18207</v>
      </c>
      <c r="K725" s="383">
        <v>18517</v>
      </c>
    </row>
    <row r="726" spans="1:11" x14ac:dyDescent="0.3">
      <c r="A726" t="s">
        <v>2223</v>
      </c>
      <c r="B726" t="s">
        <v>2773</v>
      </c>
      <c r="C726" t="s">
        <v>2869</v>
      </c>
      <c r="D726" s="383">
        <v>11419</v>
      </c>
      <c r="E726" s="384">
        <v>1471798236.5</v>
      </c>
      <c r="F726" s="384">
        <v>0</v>
      </c>
      <c r="G726" s="384">
        <v>0</v>
      </c>
      <c r="H726" s="384">
        <v>0</v>
      </c>
      <c r="I726" s="384">
        <v>0</v>
      </c>
      <c r="J726" s="383">
        <v>9742</v>
      </c>
      <c r="K726" s="383">
        <v>9812</v>
      </c>
    </row>
    <row r="727" spans="1:11" x14ac:dyDescent="0.3">
      <c r="A727" t="s">
        <v>2223</v>
      </c>
      <c r="B727" t="s">
        <v>2773</v>
      </c>
      <c r="C727" t="s">
        <v>2870</v>
      </c>
      <c r="D727" s="383">
        <v>9964</v>
      </c>
      <c r="E727" s="384">
        <v>1347928632.5999999</v>
      </c>
      <c r="F727" s="384">
        <v>0</v>
      </c>
      <c r="G727" s="384">
        <v>0</v>
      </c>
      <c r="H727" s="384">
        <v>0</v>
      </c>
      <c r="I727" s="384">
        <v>0</v>
      </c>
      <c r="J727" s="383">
        <v>8446</v>
      </c>
      <c r="K727" s="383">
        <v>8497</v>
      </c>
    </row>
    <row r="728" spans="1:11" x14ac:dyDescent="0.3">
      <c r="A728" t="s">
        <v>2223</v>
      </c>
      <c r="B728" t="s">
        <v>2773</v>
      </c>
      <c r="C728" t="s">
        <v>2871</v>
      </c>
      <c r="D728" s="383">
        <v>4997</v>
      </c>
      <c r="E728" s="384">
        <v>695860792.98000002</v>
      </c>
      <c r="F728" s="384">
        <v>0</v>
      </c>
      <c r="G728" s="384">
        <v>0</v>
      </c>
      <c r="H728" s="384">
        <v>0</v>
      </c>
      <c r="I728" s="384">
        <v>0</v>
      </c>
      <c r="J728" s="383">
        <v>4366</v>
      </c>
      <c r="K728" s="383">
        <v>4396</v>
      </c>
    </row>
    <row r="729" spans="1:11" x14ac:dyDescent="0.3">
      <c r="A729" t="s">
        <v>2223</v>
      </c>
      <c r="B729" t="s">
        <v>2773</v>
      </c>
      <c r="C729" t="s">
        <v>2872</v>
      </c>
      <c r="D729" s="383">
        <v>2231</v>
      </c>
      <c r="E729" s="384">
        <v>336976918.07999998</v>
      </c>
      <c r="F729" s="384">
        <v>0</v>
      </c>
      <c r="G729" s="384">
        <v>0</v>
      </c>
      <c r="H729" s="384">
        <v>0</v>
      </c>
      <c r="I729" s="384">
        <v>0</v>
      </c>
      <c r="J729" s="383">
        <v>2043</v>
      </c>
      <c r="K729" s="383">
        <v>2055</v>
      </c>
    </row>
    <row r="730" spans="1:11" x14ac:dyDescent="0.3">
      <c r="A730" t="s">
        <v>2223</v>
      </c>
      <c r="B730" t="s">
        <v>2773</v>
      </c>
      <c r="C730" t="s">
        <v>2873</v>
      </c>
      <c r="D730" s="383">
        <v>23507</v>
      </c>
      <c r="E730" s="384">
        <v>1045154409.14</v>
      </c>
      <c r="F730" s="384">
        <v>0</v>
      </c>
      <c r="G730" s="384">
        <v>0</v>
      </c>
      <c r="H730" s="384">
        <v>0</v>
      </c>
      <c r="I730" s="384">
        <v>0</v>
      </c>
      <c r="J730" s="383">
        <v>21273</v>
      </c>
      <c r="K730" s="383">
        <v>21805</v>
      </c>
    </row>
    <row r="731" spans="1:11" x14ac:dyDescent="0.3">
      <c r="A731" t="s">
        <v>2223</v>
      </c>
      <c r="B731" t="s">
        <v>2773</v>
      </c>
      <c r="C731" t="s">
        <v>2874</v>
      </c>
      <c r="D731" s="383">
        <v>8880</v>
      </c>
      <c r="E731" s="384">
        <v>741758726.55999994</v>
      </c>
      <c r="F731" s="384">
        <v>0</v>
      </c>
      <c r="G731" s="384">
        <v>0</v>
      </c>
      <c r="H731" s="384">
        <v>0</v>
      </c>
      <c r="I731" s="384">
        <v>0</v>
      </c>
      <c r="J731" s="383">
        <v>7729</v>
      </c>
      <c r="K731" s="383">
        <v>7833</v>
      </c>
    </row>
    <row r="732" spans="1:11" x14ac:dyDescent="0.3">
      <c r="A732" t="s">
        <v>2223</v>
      </c>
      <c r="B732" t="s">
        <v>2773</v>
      </c>
      <c r="C732" t="s">
        <v>2875</v>
      </c>
      <c r="D732" s="383">
        <v>10755</v>
      </c>
      <c r="E732" s="384">
        <v>1016192397.77</v>
      </c>
      <c r="F732" s="384">
        <v>0</v>
      </c>
      <c r="G732" s="384">
        <v>0</v>
      </c>
      <c r="H732" s="384">
        <v>0</v>
      </c>
      <c r="I732" s="384">
        <v>0</v>
      </c>
      <c r="J732" s="383">
        <v>9182</v>
      </c>
      <c r="K732" s="383">
        <v>9308</v>
      </c>
    </row>
    <row r="733" spans="1:11" x14ac:dyDescent="0.3">
      <c r="A733" t="s">
        <v>2223</v>
      </c>
      <c r="B733" t="s">
        <v>2773</v>
      </c>
      <c r="C733" t="s">
        <v>2876</v>
      </c>
      <c r="D733" s="383">
        <v>12819</v>
      </c>
      <c r="E733" s="384">
        <v>1370368423.49</v>
      </c>
      <c r="F733" s="384">
        <v>0</v>
      </c>
      <c r="G733" s="384">
        <v>0</v>
      </c>
      <c r="H733" s="384">
        <v>0</v>
      </c>
      <c r="I733" s="384">
        <v>0</v>
      </c>
      <c r="J733" s="383">
        <v>10870</v>
      </c>
      <c r="K733" s="383">
        <v>11044</v>
      </c>
    </row>
    <row r="734" spans="1:11" x14ac:dyDescent="0.3">
      <c r="A734" t="s">
        <v>2223</v>
      </c>
      <c r="B734" t="s">
        <v>2773</v>
      </c>
      <c r="C734" t="s">
        <v>2877</v>
      </c>
      <c r="D734" s="383">
        <v>14946</v>
      </c>
      <c r="E734" s="384">
        <v>1883125187.8099999</v>
      </c>
      <c r="F734" s="384">
        <v>0</v>
      </c>
      <c r="G734" s="384">
        <v>0</v>
      </c>
      <c r="H734" s="384">
        <v>0</v>
      </c>
      <c r="I734" s="384">
        <v>0</v>
      </c>
      <c r="J734" s="383">
        <v>13043</v>
      </c>
      <c r="K734" s="383">
        <v>13299</v>
      </c>
    </row>
    <row r="735" spans="1:11" x14ac:dyDescent="0.3">
      <c r="A735" t="s">
        <v>2223</v>
      </c>
      <c r="B735" t="s">
        <v>2773</v>
      </c>
      <c r="C735" t="s">
        <v>2878</v>
      </c>
      <c r="D735" s="383">
        <v>8035</v>
      </c>
      <c r="E735" s="384">
        <v>1178684036.1600001</v>
      </c>
      <c r="F735" s="384">
        <v>0</v>
      </c>
      <c r="G735" s="384">
        <v>0</v>
      </c>
      <c r="H735" s="384">
        <v>0</v>
      </c>
      <c r="I735" s="384">
        <v>0</v>
      </c>
      <c r="J735" s="383">
        <v>7328</v>
      </c>
      <c r="K735" s="383">
        <v>7408</v>
      </c>
    </row>
    <row r="736" spans="1:11" x14ac:dyDescent="0.3">
      <c r="A736" t="s">
        <v>2223</v>
      </c>
      <c r="B736" t="s">
        <v>2773</v>
      </c>
      <c r="C736" t="s">
        <v>2879</v>
      </c>
      <c r="D736" s="383">
        <v>7149</v>
      </c>
      <c r="E736" s="384">
        <v>1097704846.96</v>
      </c>
      <c r="F736" s="384">
        <v>0</v>
      </c>
      <c r="G736" s="384">
        <v>0</v>
      </c>
      <c r="H736" s="384">
        <v>0</v>
      </c>
      <c r="I736" s="384">
        <v>0</v>
      </c>
      <c r="J736" s="383">
        <v>6593</v>
      </c>
      <c r="K736" s="383">
        <v>6673</v>
      </c>
    </row>
    <row r="737" spans="1:11" x14ac:dyDescent="0.3">
      <c r="A737" t="s">
        <v>2223</v>
      </c>
      <c r="B737" t="s">
        <v>2773</v>
      </c>
      <c r="C737" t="s">
        <v>2880</v>
      </c>
      <c r="D737" s="383">
        <v>4113</v>
      </c>
      <c r="E737" s="384">
        <v>679801524.01999998</v>
      </c>
      <c r="F737" s="384">
        <v>0</v>
      </c>
      <c r="G737" s="384">
        <v>0</v>
      </c>
      <c r="H737" s="384">
        <v>0</v>
      </c>
      <c r="I737" s="384">
        <v>0</v>
      </c>
      <c r="J737" s="383">
        <v>3940</v>
      </c>
      <c r="K737" s="383">
        <v>3975</v>
      </c>
    </row>
    <row r="738" spans="1:11" x14ac:dyDescent="0.3">
      <c r="A738" t="s">
        <v>2223</v>
      </c>
      <c r="B738" t="s">
        <v>2773</v>
      </c>
      <c r="C738" t="s">
        <v>2881</v>
      </c>
      <c r="D738" s="383">
        <v>2109</v>
      </c>
      <c r="E738" s="384">
        <v>364689799.83999997</v>
      </c>
      <c r="F738" s="384">
        <v>0</v>
      </c>
      <c r="G738" s="384">
        <v>0</v>
      </c>
      <c r="H738" s="384">
        <v>0</v>
      </c>
      <c r="I738" s="384">
        <v>0</v>
      </c>
      <c r="J738" s="383">
        <v>2064</v>
      </c>
      <c r="K738" s="383">
        <v>2076</v>
      </c>
    </row>
    <row r="739" spans="1:11" x14ac:dyDescent="0.3">
      <c r="A739" t="s">
        <v>2223</v>
      </c>
      <c r="B739" t="s">
        <v>2773</v>
      </c>
      <c r="C739" t="s">
        <v>2882</v>
      </c>
      <c r="D739" s="383">
        <v>1516</v>
      </c>
      <c r="E739" s="384">
        <v>62891497.960000001</v>
      </c>
      <c r="F739" s="384">
        <v>0</v>
      </c>
      <c r="G739" s="384">
        <v>0</v>
      </c>
      <c r="H739" s="384">
        <v>0</v>
      </c>
      <c r="I739" s="384">
        <v>0</v>
      </c>
      <c r="J739" s="383">
        <v>1405</v>
      </c>
      <c r="K739" s="383">
        <v>1437</v>
      </c>
    </row>
    <row r="740" spans="1:11" x14ac:dyDescent="0.3">
      <c r="A740" t="s">
        <v>2223</v>
      </c>
      <c r="B740" t="s">
        <v>2773</v>
      </c>
      <c r="C740" t="s">
        <v>2883</v>
      </c>
      <c r="D740" s="383">
        <v>562</v>
      </c>
      <c r="E740" s="384">
        <v>42956609.219999999</v>
      </c>
      <c r="F740" s="384">
        <v>0</v>
      </c>
      <c r="G740" s="384">
        <v>0</v>
      </c>
      <c r="H740" s="384">
        <v>0</v>
      </c>
      <c r="I740" s="384">
        <v>0</v>
      </c>
      <c r="J740" s="383">
        <v>509</v>
      </c>
      <c r="K740" s="383">
        <v>511</v>
      </c>
    </row>
    <row r="741" spans="1:11" x14ac:dyDescent="0.3">
      <c r="A741" t="s">
        <v>2223</v>
      </c>
      <c r="B741" t="s">
        <v>2773</v>
      </c>
      <c r="C741" t="s">
        <v>2884</v>
      </c>
      <c r="D741" s="383">
        <v>612</v>
      </c>
      <c r="E741" s="384">
        <v>55701530.159999996</v>
      </c>
      <c r="F741" s="384">
        <v>0</v>
      </c>
      <c r="G741" s="384">
        <v>0</v>
      </c>
      <c r="H741" s="384">
        <v>0</v>
      </c>
      <c r="I741" s="384">
        <v>0</v>
      </c>
      <c r="J741" s="383">
        <v>546</v>
      </c>
      <c r="K741" s="383">
        <v>556</v>
      </c>
    </row>
    <row r="742" spans="1:11" x14ac:dyDescent="0.3">
      <c r="A742" t="s">
        <v>2223</v>
      </c>
      <c r="B742" t="s">
        <v>2773</v>
      </c>
      <c r="C742" t="s">
        <v>2885</v>
      </c>
      <c r="D742" s="383">
        <v>758</v>
      </c>
      <c r="E742" s="384">
        <v>87218370.200000003</v>
      </c>
      <c r="F742" s="384">
        <v>0</v>
      </c>
      <c r="G742" s="384">
        <v>0</v>
      </c>
      <c r="H742" s="384">
        <v>0</v>
      </c>
      <c r="I742" s="384">
        <v>0</v>
      </c>
      <c r="J742" s="383">
        <v>681</v>
      </c>
      <c r="K742" s="383">
        <v>688</v>
      </c>
    </row>
    <row r="743" spans="1:11" x14ac:dyDescent="0.3">
      <c r="A743" t="s">
        <v>2223</v>
      </c>
      <c r="B743" t="s">
        <v>2773</v>
      </c>
      <c r="C743" t="s">
        <v>2886</v>
      </c>
      <c r="D743" s="383">
        <v>900</v>
      </c>
      <c r="E743" s="384">
        <v>110780803.83</v>
      </c>
      <c r="F743" s="384">
        <v>0</v>
      </c>
      <c r="G743" s="384">
        <v>0</v>
      </c>
      <c r="H743" s="384">
        <v>0</v>
      </c>
      <c r="I743" s="384">
        <v>0</v>
      </c>
      <c r="J743" s="383">
        <v>805</v>
      </c>
      <c r="K743" s="383">
        <v>817</v>
      </c>
    </row>
    <row r="744" spans="1:11" x14ac:dyDescent="0.3">
      <c r="A744" t="s">
        <v>2223</v>
      </c>
      <c r="B744" t="s">
        <v>2773</v>
      </c>
      <c r="C744" t="s">
        <v>2887</v>
      </c>
      <c r="D744" s="383">
        <v>538</v>
      </c>
      <c r="E744" s="384">
        <v>76946549.620000005</v>
      </c>
      <c r="F744" s="384">
        <v>0</v>
      </c>
      <c r="G744" s="384">
        <v>0</v>
      </c>
      <c r="H744" s="384">
        <v>0</v>
      </c>
      <c r="I744" s="384">
        <v>0</v>
      </c>
      <c r="J744" s="383">
        <v>487</v>
      </c>
      <c r="K744" s="383">
        <v>491</v>
      </c>
    </row>
    <row r="745" spans="1:11" x14ac:dyDescent="0.3">
      <c r="A745" t="s">
        <v>2223</v>
      </c>
      <c r="B745" t="s">
        <v>2773</v>
      </c>
      <c r="C745" t="s">
        <v>2888</v>
      </c>
      <c r="D745" s="383">
        <v>432</v>
      </c>
      <c r="E745" s="384">
        <v>70516003.540000007</v>
      </c>
      <c r="F745" s="384">
        <v>0</v>
      </c>
      <c r="G745" s="384">
        <v>0</v>
      </c>
      <c r="H745" s="384">
        <v>0</v>
      </c>
      <c r="I745" s="384">
        <v>0</v>
      </c>
      <c r="J745" s="383">
        <v>408</v>
      </c>
      <c r="K745" s="383">
        <v>410</v>
      </c>
    </row>
    <row r="746" spans="1:11" x14ac:dyDescent="0.3">
      <c r="A746" t="s">
        <v>2223</v>
      </c>
      <c r="B746" t="s">
        <v>2773</v>
      </c>
      <c r="C746" t="s">
        <v>2889</v>
      </c>
      <c r="D746" s="383">
        <v>343</v>
      </c>
      <c r="E746" s="384">
        <v>60080226.969999999</v>
      </c>
      <c r="F746" s="384">
        <v>0</v>
      </c>
      <c r="G746" s="384">
        <v>0</v>
      </c>
      <c r="H746" s="384">
        <v>0</v>
      </c>
      <c r="I746" s="384">
        <v>0</v>
      </c>
      <c r="J746" s="383">
        <v>332</v>
      </c>
      <c r="K746" s="383">
        <v>334</v>
      </c>
    </row>
    <row r="747" spans="1:11" x14ac:dyDescent="0.3">
      <c r="A747" t="s">
        <v>2223</v>
      </c>
      <c r="B747" t="s">
        <v>2773</v>
      </c>
      <c r="C747" t="s">
        <v>2890</v>
      </c>
      <c r="D747" s="383">
        <v>169</v>
      </c>
      <c r="E747" s="384">
        <v>31444412.530000001</v>
      </c>
      <c r="F747" s="384">
        <v>0</v>
      </c>
      <c r="G747" s="384">
        <v>0</v>
      </c>
      <c r="H747" s="384">
        <v>0</v>
      </c>
      <c r="I747" s="384">
        <v>0</v>
      </c>
      <c r="J747" s="383">
        <v>168</v>
      </c>
      <c r="K747" s="383">
        <v>168</v>
      </c>
    </row>
    <row r="748" spans="1:11" x14ac:dyDescent="0.3">
      <c r="A748" t="s">
        <v>2223</v>
      </c>
      <c r="B748" t="s">
        <v>2773</v>
      </c>
      <c r="C748" t="s">
        <v>2891</v>
      </c>
      <c r="D748" s="383">
        <v>2272</v>
      </c>
      <c r="E748" s="384">
        <v>88913194.269999996</v>
      </c>
      <c r="F748" s="384">
        <v>0</v>
      </c>
      <c r="G748" s="384">
        <v>0</v>
      </c>
      <c r="H748" s="384">
        <v>0</v>
      </c>
      <c r="I748" s="384">
        <v>0</v>
      </c>
      <c r="J748" s="383">
        <v>2116</v>
      </c>
      <c r="K748" s="383">
        <v>2151</v>
      </c>
    </row>
    <row r="749" spans="1:11" x14ac:dyDescent="0.3">
      <c r="A749" t="s">
        <v>2223</v>
      </c>
      <c r="B749" t="s">
        <v>2773</v>
      </c>
      <c r="C749" t="s">
        <v>2892</v>
      </c>
      <c r="D749" s="383">
        <v>907</v>
      </c>
      <c r="E749" s="384">
        <v>64419031.579999998</v>
      </c>
      <c r="F749" s="384">
        <v>0</v>
      </c>
      <c r="G749" s="384">
        <v>0</v>
      </c>
      <c r="H749" s="384">
        <v>0</v>
      </c>
      <c r="I749" s="384">
        <v>0</v>
      </c>
      <c r="J749" s="383">
        <v>813</v>
      </c>
      <c r="K749" s="383">
        <v>829</v>
      </c>
    </row>
    <row r="750" spans="1:11" x14ac:dyDescent="0.3">
      <c r="A750" t="s">
        <v>2223</v>
      </c>
      <c r="B750" t="s">
        <v>2773</v>
      </c>
      <c r="C750" t="s">
        <v>2893</v>
      </c>
      <c r="D750" s="383">
        <v>1181</v>
      </c>
      <c r="E750" s="384">
        <v>98831766.719999999</v>
      </c>
      <c r="F750" s="384">
        <v>0</v>
      </c>
      <c r="G750" s="384">
        <v>0</v>
      </c>
      <c r="H750" s="384">
        <v>0</v>
      </c>
      <c r="I750" s="384">
        <v>0</v>
      </c>
      <c r="J750" s="383">
        <v>1035</v>
      </c>
      <c r="K750" s="383">
        <v>1052</v>
      </c>
    </row>
    <row r="751" spans="1:11" x14ac:dyDescent="0.3">
      <c r="A751" t="s">
        <v>2223</v>
      </c>
      <c r="B751" t="s">
        <v>2773</v>
      </c>
      <c r="C751" t="s">
        <v>2894</v>
      </c>
      <c r="D751" s="383">
        <v>1217</v>
      </c>
      <c r="E751" s="384">
        <v>121621158.42</v>
      </c>
      <c r="F751" s="384">
        <v>0</v>
      </c>
      <c r="G751" s="384">
        <v>0</v>
      </c>
      <c r="H751" s="384">
        <v>0</v>
      </c>
      <c r="I751" s="384">
        <v>0</v>
      </c>
      <c r="J751" s="383">
        <v>1075</v>
      </c>
      <c r="K751" s="383">
        <v>1092</v>
      </c>
    </row>
    <row r="752" spans="1:11" x14ac:dyDescent="0.3">
      <c r="A752" t="s">
        <v>2223</v>
      </c>
      <c r="B752" t="s">
        <v>2773</v>
      </c>
      <c r="C752" t="s">
        <v>2895</v>
      </c>
      <c r="D752" s="383">
        <v>1411</v>
      </c>
      <c r="E752" s="384">
        <v>168775601.91</v>
      </c>
      <c r="F752" s="384">
        <v>0</v>
      </c>
      <c r="G752" s="384">
        <v>0</v>
      </c>
      <c r="H752" s="384">
        <v>0</v>
      </c>
      <c r="I752" s="384">
        <v>0</v>
      </c>
      <c r="J752" s="383">
        <v>1251</v>
      </c>
      <c r="K752" s="383">
        <v>1260</v>
      </c>
    </row>
    <row r="753" spans="1:11" x14ac:dyDescent="0.3">
      <c r="A753" t="s">
        <v>2223</v>
      </c>
      <c r="B753" t="s">
        <v>2773</v>
      </c>
      <c r="C753" t="s">
        <v>2896</v>
      </c>
      <c r="D753" s="383">
        <v>777</v>
      </c>
      <c r="E753" s="384">
        <v>109525414.66</v>
      </c>
      <c r="F753" s="384">
        <v>0</v>
      </c>
      <c r="G753" s="384">
        <v>0</v>
      </c>
      <c r="H753" s="384">
        <v>0</v>
      </c>
      <c r="I753" s="384">
        <v>0</v>
      </c>
      <c r="J753" s="383">
        <v>710</v>
      </c>
      <c r="K753" s="383">
        <v>717</v>
      </c>
    </row>
    <row r="754" spans="1:11" x14ac:dyDescent="0.3">
      <c r="A754" t="s">
        <v>2223</v>
      </c>
      <c r="B754" t="s">
        <v>2773</v>
      </c>
      <c r="C754" t="s">
        <v>2897</v>
      </c>
      <c r="D754" s="383">
        <v>700</v>
      </c>
      <c r="E754" s="384">
        <v>112299513.38</v>
      </c>
      <c r="F754" s="384">
        <v>0</v>
      </c>
      <c r="G754" s="384">
        <v>0</v>
      </c>
      <c r="H754" s="384">
        <v>0</v>
      </c>
      <c r="I754" s="384">
        <v>0</v>
      </c>
      <c r="J754" s="383">
        <v>666</v>
      </c>
      <c r="K754" s="383">
        <v>668</v>
      </c>
    </row>
    <row r="755" spans="1:11" x14ac:dyDescent="0.3">
      <c r="A755" t="s">
        <v>2223</v>
      </c>
      <c r="B755" t="s">
        <v>2773</v>
      </c>
      <c r="C755" t="s">
        <v>2898</v>
      </c>
      <c r="D755" s="383">
        <v>534</v>
      </c>
      <c r="E755" s="384">
        <v>90772219.049999997</v>
      </c>
      <c r="F755" s="384">
        <v>0</v>
      </c>
      <c r="G755" s="384">
        <v>0</v>
      </c>
      <c r="H755" s="384">
        <v>0</v>
      </c>
      <c r="I755" s="384">
        <v>0</v>
      </c>
      <c r="J755" s="383">
        <v>510</v>
      </c>
      <c r="K755" s="383">
        <v>518</v>
      </c>
    </row>
    <row r="756" spans="1:11" x14ac:dyDescent="0.3">
      <c r="A756" t="s">
        <v>2223</v>
      </c>
      <c r="B756" t="s">
        <v>2773</v>
      </c>
      <c r="C756" t="s">
        <v>2899</v>
      </c>
      <c r="D756" s="383">
        <v>220</v>
      </c>
      <c r="E756" s="384">
        <v>36019325.740000002</v>
      </c>
      <c r="F756" s="384">
        <v>0</v>
      </c>
      <c r="G756" s="384">
        <v>0</v>
      </c>
      <c r="H756" s="384">
        <v>0</v>
      </c>
      <c r="I756" s="384">
        <v>0</v>
      </c>
      <c r="J756" s="383">
        <v>215</v>
      </c>
      <c r="K756" s="383">
        <v>218</v>
      </c>
    </row>
    <row r="757" spans="1:11" x14ac:dyDescent="0.3">
      <c r="A757" t="s">
        <v>2223</v>
      </c>
      <c r="B757" t="s">
        <v>2773</v>
      </c>
      <c r="C757" t="s">
        <v>2900</v>
      </c>
      <c r="D757" s="383">
        <v>76</v>
      </c>
      <c r="E757" s="384">
        <v>2686324.14</v>
      </c>
      <c r="F757" s="384">
        <v>0</v>
      </c>
      <c r="G757" s="384">
        <v>0</v>
      </c>
      <c r="H757" s="384">
        <v>0</v>
      </c>
      <c r="I757" s="384">
        <v>0</v>
      </c>
      <c r="J757" s="383">
        <v>75</v>
      </c>
      <c r="K757" s="383">
        <v>76</v>
      </c>
    </row>
    <row r="758" spans="1:11" x14ac:dyDescent="0.3">
      <c r="A758" t="s">
        <v>2223</v>
      </c>
      <c r="B758" t="s">
        <v>2773</v>
      </c>
      <c r="C758" t="s">
        <v>2901</v>
      </c>
      <c r="D758" s="383">
        <v>27</v>
      </c>
      <c r="E758" s="384">
        <v>1599973.41</v>
      </c>
      <c r="F758" s="384">
        <v>0</v>
      </c>
      <c r="G758" s="384">
        <v>0</v>
      </c>
      <c r="H758" s="384">
        <v>0</v>
      </c>
      <c r="I758" s="384">
        <v>0</v>
      </c>
      <c r="J758" s="383">
        <v>25</v>
      </c>
      <c r="K758" s="383">
        <v>27</v>
      </c>
    </row>
    <row r="759" spans="1:11" x14ac:dyDescent="0.3">
      <c r="A759" t="s">
        <v>2223</v>
      </c>
      <c r="B759" t="s">
        <v>2773</v>
      </c>
      <c r="C759" t="s">
        <v>2902</v>
      </c>
      <c r="D759" s="383">
        <v>40</v>
      </c>
      <c r="E759" s="384">
        <v>2900587.03</v>
      </c>
      <c r="F759" s="384">
        <v>0</v>
      </c>
      <c r="G759" s="384">
        <v>0</v>
      </c>
      <c r="H759" s="384">
        <v>0</v>
      </c>
      <c r="I759" s="384">
        <v>0</v>
      </c>
      <c r="J759" s="383">
        <v>39</v>
      </c>
      <c r="K759" s="383">
        <v>40</v>
      </c>
    </row>
    <row r="760" spans="1:11" x14ac:dyDescent="0.3">
      <c r="A760" t="s">
        <v>2223</v>
      </c>
      <c r="B760" t="s">
        <v>2773</v>
      </c>
      <c r="C760" t="s">
        <v>2903</v>
      </c>
      <c r="D760" s="383">
        <v>29</v>
      </c>
      <c r="E760" s="384">
        <v>2351671.15</v>
      </c>
      <c r="F760" s="384">
        <v>0</v>
      </c>
      <c r="G760" s="384">
        <v>0</v>
      </c>
      <c r="H760" s="384">
        <v>0</v>
      </c>
      <c r="I760" s="384">
        <v>0</v>
      </c>
      <c r="J760" s="383">
        <v>29</v>
      </c>
      <c r="K760" s="383">
        <v>29</v>
      </c>
    </row>
    <row r="761" spans="1:11" x14ac:dyDescent="0.3">
      <c r="A761" t="s">
        <v>2223</v>
      </c>
      <c r="B761" t="s">
        <v>2773</v>
      </c>
      <c r="C761" t="s">
        <v>2904</v>
      </c>
      <c r="D761" s="383">
        <v>19</v>
      </c>
      <c r="E761" s="384">
        <v>3139299.56</v>
      </c>
      <c r="F761" s="384">
        <v>0</v>
      </c>
      <c r="G761" s="384">
        <v>0</v>
      </c>
      <c r="H761" s="384">
        <v>0</v>
      </c>
      <c r="I761" s="384">
        <v>0</v>
      </c>
      <c r="J761" s="383">
        <v>18</v>
      </c>
      <c r="K761" s="383">
        <v>19</v>
      </c>
    </row>
    <row r="762" spans="1:11" x14ac:dyDescent="0.3">
      <c r="A762" t="s">
        <v>2223</v>
      </c>
      <c r="B762" t="s">
        <v>2773</v>
      </c>
      <c r="C762" t="s">
        <v>2905</v>
      </c>
      <c r="D762" s="383">
        <v>1</v>
      </c>
      <c r="E762" s="384">
        <v>311786.08</v>
      </c>
      <c r="F762" s="384">
        <v>0</v>
      </c>
      <c r="G762" s="384">
        <v>0</v>
      </c>
      <c r="H762" s="384">
        <v>0</v>
      </c>
      <c r="I762" s="384">
        <v>0</v>
      </c>
      <c r="J762" s="383">
        <v>1</v>
      </c>
      <c r="K762" s="383">
        <v>1</v>
      </c>
    </row>
    <row r="763" spans="1:11" x14ac:dyDescent="0.3">
      <c r="A763" t="s">
        <v>2223</v>
      </c>
      <c r="B763" t="s">
        <v>2773</v>
      </c>
      <c r="C763" t="s">
        <v>2906</v>
      </c>
      <c r="D763" s="383">
        <v>1</v>
      </c>
      <c r="E763" s="384">
        <v>125641.97</v>
      </c>
      <c r="F763" s="384">
        <v>0</v>
      </c>
      <c r="G763" s="384">
        <v>0</v>
      </c>
      <c r="H763" s="384">
        <v>0</v>
      </c>
      <c r="I763" s="384">
        <v>0</v>
      </c>
      <c r="J763" s="383">
        <v>1</v>
      </c>
      <c r="K763" s="383">
        <v>1</v>
      </c>
    </row>
    <row r="764" spans="1:11" x14ac:dyDescent="0.3">
      <c r="A764" t="s">
        <v>2223</v>
      </c>
      <c r="B764" t="s">
        <v>2907</v>
      </c>
      <c r="C764" t="s">
        <v>634</v>
      </c>
      <c r="D764" s="383">
        <v>596455</v>
      </c>
      <c r="E764" s="384">
        <v>51467182347.760002</v>
      </c>
      <c r="F764" s="384">
        <v>0</v>
      </c>
      <c r="G764" s="384">
        <v>0</v>
      </c>
      <c r="H764" s="384">
        <v>0</v>
      </c>
      <c r="I764" s="384">
        <v>0</v>
      </c>
      <c r="J764" s="383">
        <v>498640</v>
      </c>
      <c r="K764" s="383">
        <v>526613</v>
      </c>
    </row>
    <row r="765" spans="1:11" x14ac:dyDescent="0.3">
      <c r="A765" t="s">
        <v>2223</v>
      </c>
      <c r="B765" t="s">
        <v>2907</v>
      </c>
      <c r="C765" t="s">
        <v>636</v>
      </c>
      <c r="D765" s="383">
        <v>1789</v>
      </c>
      <c r="E765" s="384">
        <v>95914226.700000003</v>
      </c>
      <c r="F765" s="384">
        <v>0</v>
      </c>
      <c r="G765" s="384">
        <v>0</v>
      </c>
      <c r="H765" s="384">
        <v>0</v>
      </c>
      <c r="I765" s="384">
        <v>0</v>
      </c>
      <c r="J765" s="383">
        <v>1683</v>
      </c>
      <c r="K765" s="383">
        <v>1737</v>
      </c>
    </row>
    <row r="766" spans="1:11" x14ac:dyDescent="0.3">
      <c r="A766" t="s">
        <v>2223</v>
      </c>
      <c r="B766" t="s">
        <v>2907</v>
      </c>
      <c r="C766" t="s">
        <v>627</v>
      </c>
      <c r="D766" s="383">
        <v>24444</v>
      </c>
      <c r="E766" s="384">
        <v>978765067.05999994</v>
      </c>
      <c r="F766" s="384">
        <v>0</v>
      </c>
      <c r="G766" s="384">
        <v>0</v>
      </c>
      <c r="H766" s="384">
        <v>0</v>
      </c>
      <c r="I766" s="384">
        <v>0</v>
      </c>
      <c r="J766" s="383">
        <v>20168</v>
      </c>
      <c r="K766" s="383">
        <v>20333</v>
      </c>
    </row>
    <row r="767" spans="1:11" x14ac:dyDescent="0.3">
      <c r="A767" t="s">
        <v>2223</v>
      </c>
      <c r="B767" t="s">
        <v>2907</v>
      </c>
      <c r="C767" t="s">
        <v>628</v>
      </c>
      <c r="D767" s="383">
        <v>178682</v>
      </c>
      <c r="E767" s="384">
        <v>15447412486.25</v>
      </c>
      <c r="F767" s="384">
        <v>0</v>
      </c>
      <c r="G767" s="384">
        <v>0</v>
      </c>
      <c r="H767" s="384">
        <v>0</v>
      </c>
      <c r="I767" s="384">
        <v>0</v>
      </c>
      <c r="J767" s="383">
        <v>157262</v>
      </c>
      <c r="K767" s="383">
        <v>164501</v>
      </c>
    </row>
    <row r="768" spans="1:11" x14ac:dyDescent="0.3">
      <c r="A768" t="s">
        <v>2223</v>
      </c>
      <c r="B768" t="s">
        <v>2907</v>
      </c>
      <c r="C768" t="s">
        <v>635</v>
      </c>
      <c r="D768" s="383">
        <v>169854</v>
      </c>
      <c r="E768" s="384">
        <v>17286792345.27</v>
      </c>
      <c r="F768" s="384">
        <v>0</v>
      </c>
      <c r="G768" s="384">
        <v>0</v>
      </c>
      <c r="H768" s="384">
        <v>0</v>
      </c>
      <c r="I768" s="384">
        <v>0</v>
      </c>
      <c r="J768" s="383">
        <v>156360</v>
      </c>
      <c r="K768" s="383">
        <v>164075</v>
      </c>
    </row>
    <row r="769" spans="1:11" x14ac:dyDescent="0.3">
      <c r="A769" t="s">
        <v>2225</v>
      </c>
      <c r="B769" t="s">
        <v>2908</v>
      </c>
      <c r="C769" t="s">
        <v>565</v>
      </c>
      <c r="D769" s="383">
        <v>18489</v>
      </c>
      <c r="E769" s="384">
        <v>1201384034.1400001</v>
      </c>
      <c r="F769" s="384">
        <v>0</v>
      </c>
      <c r="G769" s="384">
        <v>0</v>
      </c>
      <c r="H769" s="384">
        <v>0</v>
      </c>
      <c r="I769" s="384">
        <v>0</v>
      </c>
      <c r="J769" s="383">
        <v>15995</v>
      </c>
      <c r="K769" s="383">
        <v>16089</v>
      </c>
    </row>
    <row r="770" spans="1:11" x14ac:dyDescent="0.3">
      <c r="A770" t="s">
        <v>2223</v>
      </c>
      <c r="B770" t="s">
        <v>2908</v>
      </c>
      <c r="C770" t="s">
        <v>565</v>
      </c>
      <c r="D770" s="383">
        <v>350114</v>
      </c>
      <c r="E770" s="384">
        <v>15115901744.58</v>
      </c>
      <c r="F770" s="384">
        <v>0</v>
      </c>
      <c r="G770" s="384">
        <v>0</v>
      </c>
      <c r="H770" s="384">
        <v>0</v>
      </c>
      <c r="I770" s="384">
        <v>0</v>
      </c>
      <c r="J770" s="383">
        <v>308872</v>
      </c>
      <c r="K770" s="383">
        <v>319347</v>
      </c>
    </row>
    <row r="771" spans="1:11" x14ac:dyDescent="0.3">
      <c r="A771" t="s">
        <v>2223</v>
      </c>
      <c r="B771" t="s">
        <v>2908</v>
      </c>
      <c r="C771" t="s">
        <v>588</v>
      </c>
      <c r="D771" s="383">
        <v>2914</v>
      </c>
      <c r="E771" s="384">
        <v>533740870.16000003</v>
      </c>
      <c r="F771" s="384">
        <v>0</v>
      </c>
      <c r="G771" s="384">
        <v>0</v>
      </c>
      <c r="H771" s="384">
        <v>0</v>
      </c>
      <c r="I771" s="384">
        <v>0</v>
      </c>
      <c r="J771" s="383">
        <v>2837</v>
      </c>
      <c r="K771" s="383">
        <v>2851</v>
      </c>
    </row>
    <row r="772" spans="1:11" x14ac:dyDescent="0.3">
      <c r="A772" t="s">
        <v>2225</v>
      </c>
      <c r="B772" t="s">
        <v>2908</v>
      </c>
      <c r="C772" t="s">
        <v>588</v>
      </c>
      <c r="D772" s="383">
        <v>785</v>
      </c>
      <c r="E772" s="384">
        <v>161347838.34999999</v>
      </c>
      <c r="F772" s="384">
        <v>0</v>
      </c>
      <c r="G772" s="384">
        <v>0</v>
      </c>
      <c r="H772" s="384">
        <v>0</v>
      </c>
      <c r="I772" s="384">
        <v>0</v>
      </c>
      <c r="J772" s="383">
        <v>771</v>
      </c>
      <c r="K772" s="383">
        <v>775</v>
      </c>
    </row>
    <row r="773" spans="1:11" x14ac:dyDescent="0.3">
      <c r="A773" t="s">
        <v>2223</v>
      </c>
      <c r="B773" t="s">
        <v>2908</v>
      </c>
      <c r="C773" t="s">
        <v>589</v>
      </c>
      <c r="D773" s="383">
        <v>228</v>
      </c>
      <c r="E773" s="384">
        <v>48684755.060000002</v>
      </c>
      <c r="F773" s="384">
        <v>0</v>
      </c>
      <c r="G773" s="384">
        <v>0</v>
      </c>
      <c r="H773" s="384">
        <v>0</v>
      </c>
      <c r="I773" s="384">
        <v>0</v>
      </c>
      <c r="J773" s="383">
        <v>225</v>
      </c>
      <c r="K773" s="383">
        <v>228</v>
      </c>
    </row>
    <row r="774" spans="1:11" x14ac:dyDescent="0.3">
      <c r="A774" t="s">
        <v>2225</v>
      </c>
      <c r="B774" t="s">
        <v>2908</v>
      </c>
      <c r="C774" t="s">
        <v>589</v>
      </c>
      <c r="D774" s="383">
        <v>59</v>
      </c>
      <c r="E774" s="384">
        <v>13310200.720000001</v>
      </c>
      <c r="F774" s="384">
        <v>0</v>
      </c>
      <c r="G774" s="384">
        <v>0</v>
      </c>
      <c r="H774" s="384">
        <v>0</v>
      </c>
      <c r="I774" s="384">
        <v>0</v>
      </c>
      <c r="J774" s="383">
        <v>59</v>
      </c>
      <c r="K774" s="383">
        <v>59</v>
      </c>
    </row>
    <row r="775" spans="1:11" x14ac:dyDescent="0.3">
      <c r="A775" t="s">
        <v>2225</v>
      </c>
      <c r="B775" t="s">
        <v>2908</v>
      </c>
      <c r="C775" t="s">
        <v>568</v>
      </c>
      <c r="D775" s="383">
        <v>13125</v>
      </c>
      <c r="E775" s="384">
        <v>1179611536</v>
      </c>
      <c r="F775" s="384">
        <v>0</v>
      </c>
      <c r="G775" s="384">
        <v>0</v>
      </c>
      <c r="H775" s="384">
        <v>0</v>
      </c>
      <c r="I775" s="384">
        <v>0</v>
      </c>
      <c r="J775" s="383">
        <v>9906</v>
      </c>
      <c r="K775" s="383">
        <v>9914</v>
      </c>
    </row>
    <row r="776" spans="1:11" x14ac:dyDescent="0.3">
      <c r="A776" t="s">
        <v>2223</v>
      </c>
      <c r="B776" t="s">
        <v>2908</v>
      </c>
      <c r="C776" t="s">
        <v>568</v>
      </c>
      <c r="D776" s="383">
        <v>135450</v>
      </c>
      <c r="E776" s="384">
        <v>10683268746.450001</v>
      </c>
      <c r="F776" s="384">
        <v>0</v>
      </c>
      <c r="G776" s="384">
        <v>0</v>
      </c>
      <c r="H776" s="384">
        <v>0</v>
      </c>
      <c r="I776" s="384">
        <v>0</v>
      </c>
      <c r="J776" s="383">
        <v>114493</v>
      </c>
      <c r="K776" s="383">
        <v>116399</v>
      </c>
    </row>
    <row r="777" spans="1:11" x14ac:dyDescent="0.3">
      <c r="A777" t="s">
        <v>2223</v>
      </c>
      <c r="B777" t="s">
        <v>2908</v>
      </c>
      <c r="C777" t="s">
        <v>571</v>
      </c>
      <c r="D777" s="383">
        <v>133357</v>
      </c>
      <c r="E777" s="384">
        <v>12412548861.1</v>
      </c>
      <c r="F777" s="384">
        <v>0</v>
      </c>
      <c r="G777" s="384">
        <v>0</v>
      </c>
      <c r="H777" s="384">
        <v>0</v>
      </c>
      <c r="I777" s="384">
        <v>0</v>
      </c>
      <c r="J777" s="383">
        <v>112488</v>
      </c>
      <c r="K777" s="383">
        <v>114267</v>
      </c>
    </row>
    <row r="778" spans="1:11" x14ac:dyDescent="0.3">
      <c r="A778" t="s">
        <v>2225</v>
      </c>
      <c r="B778" t="s">
        <v>2908</v>
      </c>
      <c r="C778" t="s">
        <v>571</v>
      </c>
      <c r="D778" s="383">
        <v>20956</v>
      </c>
      <c r="E778" s="384">
        <v>1939074810.8099999</v>
      </c>
      <c r="F778" s="384">
        <v>0</v>
      </c>
      <c r="G778" s="384">
        <v>0</v>
      </c>
      <c r="H778" s="384">
        <v>0</v>
      </c>
      <c r="I778" s="384">
        <v>0</v>
      </c>
      <c r="J778" s="383">
        <v>15052</v>
      </c>
      <c r="K778" s="383">
        <v>15066</v>
      </c>
    </row>
    <row r="779" spans="1:11" x14ac:dyDescent="0.3">
      <c r="A779" t="s">
        <v>2223</v>
      </c>
      <c r="B779" t="s">
        <v>2908</v>
      </c>
      <c r="C779" t="s">
        <v>574</v>
      </c>
      <c r="D779" s="383">
        <v>113528</v>
      </c>
      <c r="E779" s="384">
        <v>12818598556.540001</v>
      </c>
      <c r="F779" s="384">
        <v>0</v>
      </c>
      <c r="G779" s="384">
        <v>0</v>
      </c>
      <c r="H779" s="384">
        <v>0</v>
      </c>
      <c r="I779" s="384">
        <v>0</v>
      </c>
      <c r="J779" s="383">
        <v>100598</v>
      </c>
      <c r="K779" s="383">
        <v>102190</v>
      </c>
    </row>
    <row r="780" spans="1:11" x14ac:dyDescent="0.3">
      <c r="A780" t="s">
        <v>2225</v>
      </c>
      <c r="B780" t="s">
        <v>2908</v>
      </c>
      <c r="C780" t="s">
        <v>574</v>
      </c>
      <c r="D780" s="383">
        <v>20631</v>
      </c>
      <c r="E780" s="384">
        <v>2311200600.8800001</v>
      </c>
      <c r="F780" s="384">
        <v>0</v>
      </c>
      <c r="G780" s="384">
        <v>0</v>
      </c>
      <c r="H780" s="384">
        <v>0</v>
      </c>
      <c r="I780" s="384">
        <v>0</v>
      </c>
      <c r="J780" s="383">
        <v>15977</v>
      </c>
      <c r="K780" s="383">
        <v>15998</v>
      </c>
    </row>
    <row r="781" spans="1:11" x14ac:dyDescent="0.3">
      <c r="A781" t="s">
        <v>2225</v>
      </c>
      <c r="B781" t="s">
        <v>2908</v>
      </c>
      <c r="C781" t="s">
        <v>577</v>
      </c>
      <c r="D781" s="383">
        <v>23028</v>
      </c>
      <c r="E781" s="384">
        <v>2992075371.6199999</v>
      </c>
      <c r="F781" s="384">
        <v>0</v>
      </c>
      <c r="G781" s="384">
        <v>0</v>
      </c>
      <c r="H781" s="384">
        <v>0</v>
      </c>
      <c r="I781" s="384">
        <v>0</v>
      </c>
      <c r="J781" s="383">
        <v>19288</v>
      </c>
      <c r="K781" s="383">
        <v>19336</v>
      </c>
    </row>
    <row r="782" spans="1:11" x14ac:dyDescent="0.3">
      <c r="A782" t="s">
        <v>2223</v>
      </c>
      <c r="B782" t="s">
        <v>2908</v>
      </c>
      <c r="C782" t="s">
        <v>577</v>
      </c>
      <c r="D782" s="383">
        <v>111232</v>
      </c>
      <c r="E782" s="384">
        <v>14571560880.84</v>
      </c>
      <c r="F782" s="384">
        <v>0</v>
      </c>
      <c r="G782" s="384">
        <v>0</v>
      </c>
      <c r="H782" s="384">
        <v>0</v>
      </c>
      <c r="I782" s="384">
        <v>0</v>
      </c>
      <c r="J782" s="383">
        <v>101386</v>
      </c>
      <c r="K782" s="383">
        <v>102782</v>
      </c>
    </row>
    <row r="783" spans="1:11" x14ac:dyDescent="0.3">
      <c r="A783" t="s">
        <v>2223</v>
      </c>
      <c r="B783" t="s">
        <v>2908</v>
      </c>
      <c r="C783" t="s">
        <v>580</v>
      </c>
      <c r="D783" s="383">
        <v>46115</v>
      </c>
      <c r="E783" s="384">
        <v>6658108640.1099997</v>
      </c>
      <c r="F783" s="384">
        <v>0</v>
      </c>
      <c r="G783" s="384">
        <v>0</v>
      </c>
      <c r="H783" s="384">
        <v>0</v>
      </c>
      <c r="I783" s="384">
        <v>0</v>
      </c>
      <c r="J783" s="383">
        <v>42870</v>
      </c>
      <c r="K783" s="383">
        <v>43116</v>
      </c>
    </row>
    <row r="784" spans="1:11" x14ac:dyDescent="0.3">
      <c r="A784" t="s">
        <v>2225</v>
      </c>
      <c r="B784" t="s">
        <v>2908</v>
      </c>
      <c r="C784" t="s">
        <v>580</v>
      </c>
      <c r="D784" s="383">
        <v>10920</v>
      </c>
      <c r="E784" s="384">
        <v>1624641537.96</v>
      </c>
      <c r="F784" s="384">
        <v>0</v>
      </c>
      <c r="G784" s="384">
        <v>0</v>
      </c>
      <c r="H784" s="384">
        <v>0</v>
      </c>
      <c r="I784" s="384">
        <v>0</v>
      </c>
      <c r="J784" s="383">
        <v>9641</v>
      </c>
      <c r="K784" s="383">
        <v>9656</v>
      </c>
    </row>
    <row r="785" spans="1:11" x14ac:dyDescent="0.3">
      <c r="A785" t="s">
        <v>2225</v>
      </c>
      <c r="B785" t="s">
        <v>2908</v>
      </c>
      <c r="C785" t="s">
        <v>581</v>
      </c>
      <c r="D785" s="383">
        <v>8541</v>
      </c>
      <c r="E785" s="384">
        <v>1409728082.1900001</v>
      </c>
      <c r="F785" s="384">
        <v>0</v>
      </c>
      <c r="G785" s="384">
        <v>0</v>
      </c>
      <c r="H785" s="384">
        <v>0</v>
      </c>
      <c r="I785" s="384">
        <v>0</v>
      </c>
      <c r="J785" s="383">
        <v>7874</v>
      </c>
      <c r="K785" s="383">
        <v>7890</v>
      </c>
    </row>
    <row r="786" spans="1:11" x14ac:dyDescent="0.3">
      <c r="A786" t="s">
        <v>2223</v>
      </c>
      <c r="B786" t="s">
        <v>2908</v>
      </c>
      <c r="C786" t="s">
        <v>581</v>
      </c>
      <c r="D786" s="383">
        <v>33607</v>
      </c>
      <c r="E786" s="384">
        <v>5226936635.1000004</v>
      </c>
      <c r="F786" s="384">
        <v>0</v>
      </c>
      <c r="G786" s="384">
        <v>0</v>
      </c>
      <c r="H786" s="384">
        <v>0</v>
      </c>
      <c r="I786" s="384">
        <v>0</v>
      </c>
      <c r="J786" s="383">
        <v>31705</v>
      </c>
      <c r="K786" s="383">
        <v>31877</v>
      </c>
    </row>
    <row r="787" spans="1:11" x14ac:dyDescent="0.3">
      <c r="A787" t="s">
        <v>2223</v>
      </c>
      <c r="B787" t="s">
        <v>2908</v>
      </c>
      <c r="C787" t="s">
        <v>584</v>
      </c>
      <c r="D787" s="383">
        <v>25470</v>
      </c>
      <c r="E787" s="384">
        <v>4069642852.8099999</v>
      </c>
      <c r="F787" s="384">
        <v>0</v>
      </c>
      <c r="G787" s="384">
        <v>0</v>
      </c>
      <c r="H787" s="384">
        <v>0</v>
      </c>
      <c r="I787" s="384">
        <v>0</v>
      </c>
      <c r="J787" s="383">
        <v>24298</v>
      </c>
      <c r="K787" s="383">
        <v>24437</v>
      </c>
    </row>
    <row r="788" spans="1:11" x14ac:dyDescent="0.3">
      <c r="A788" t="s">
        <v>2225</v>
      </c>
      <c r="B788" t="s">
        <v>2908</v>
      </c>
      <c r="C788" t="s">
        <v>584</v>
      </c>
      <c r="D788" s="383">
        <v>6466</v>
      </c>
      <c r="E788" s="384">
        <v>1128087753.6700001</v>
      </c>
      <c r="F788" s="384">
        <v>0</v>
      </c>
      <c r="G788" s="384">
        <v>0</v>
      </c>
      <c r="H788" s="384">
        <v>0</v>
      </c>
      <c r="I788" s="384">
        <v>0</v>
      </c>
      <c r="J788" s="383">
        <v>6124</v>
      </c>
      <c r="K788" s="383">
        <v>6137</v>
      </c>
    </row>
    <row r="789" spans="1:11" x14ac:dyDescent="0.3">
      <c r="A789" t="s">
        <v>2225</v>
      </c>
      <c r="B789" t="s">
        <v>2908</v>
      </c>
      <c r="C789" t="s">
        <v>585</v>
      </c>
      <c r="D789" s="383">
        <v>4339</v>
      </c>
      <c r="E789" s="384">
        <v>804223951.08000004</v>
      </c>
      <c r="F789" s="384">
        <v>0</v>
      </c>
      <c r="G789" s="384">
        <v>0</v>
      </c>
      <c r="H789" s="384">
        <v>0</v>
      </c>
      <c r="I789" s="384">
        <v>0</v>
      </c>
      <c r="J789" s="383">
        <v>4204</v>
      </c>
      <c r="K789" s="383">
        <v>4212</v>
      </c>
    </row>
    <row r="790" spans="1:11" x14ac:dyDescent="0.3">
      <c r="A790" t="s">
        <v>2223</v>
      </c>
      <c r="B790" t="s">
        <v>2908</v>
      </c>
      <c r="C790" t="s">
        <v>585</v>
      </c>
      <c r="D790" s="383">
        <v>19209</v>
      </c>
      <c r="E790" s="384">
        <v>3137073930.29</v>
      </c>
      <c r="F790" s="384">
        <v>0</v>
      </c>
      <c r="G790" s="384">
        <v>0</v>
      </c>
      <c r="H790" s="384">
        <v>0</v>
      </c>
      <c r="I790" s="384">
        <v>0</v>
      </c>
      <c r="J790" s="383">
        <v>18405</v>
      </c>
      <c r="K790" s="383">
        <v>18523</v>
      </c>
    </row>
    <row r="791" spans="1:11" x14ac:dyDescent="0.3">
      <c r="A791" t="s">
        <v>2223</v>
      </c>
      <c r="B791" t="s">
        <v>2909</v>
      </c>
      <c r="C791" t="s">
        <v>2910</v>
      </c>
      <c r="D791" s="383">
        <v>264999</v>
      </c>
      <c r="E791" s="384">
        <v>9900710397.8500004</v>
      </c>
      <c r="F791" s="384">
        <v>0</v>
      </c>
      <c r="G791" s="384">
        <v>0</v>
      </c>
      <c r="H791" s="384">
        <v>0</v>
      </c>
      <c r="I791" s="384">
        <v>0</v>
      </c>
      <c r="J791" s="383">
        <v>239628</v>
      </c>
      <c r="K791" s="383">
        <v>245939</v>
      </c>
    </row>
    <row r="792" spans="1:11" x14ac:dyDescent="0.3">
      <c r="A792" t="s">
        <v>2223</v>
      </c>
      <c r="B792" t="s">
        <v>2909</v>
      </c>
      <c r="C792" t="s">
        <v>2911</v>
      </c>
      <c r="D792" s="383">
        <v>99617</v>
      </c>
      <c r="E792" s="384">
        <v>7095082389.0900002</v>
      </c>
      <c r="F792" s="384">
        <v>0</v>
      </c>
      <c r="G792" s="384">
        <v>0</v>
      </c>
      <c r="H792" s="384">
        <v>0</v>
      </c>
      <c r="I792" s="384">
        <v>0</v>
      </c>
      <c r="J792" s="383">
        <v>87488</v>
      </c>
      <c r="K792" s="383">
        <v>88696</v>
      </c>
    </row>
    <row r="793" spans="1:11" x14ac:dyDescent="0.3">
      <c r="A793" t="s">
        <v>2223</v>
      </c>
      <c r="B793" t="s">
        <v>2909</v>
      </c>
      <c r="C793" t="s">
        <v>2912</v>
      </c>
      <c r="D793" s="383">
        <v>119078</v>
      </c>
      <c r="E793" s="384">
        <v>9938015224.2999992</v>
      </c>
      <c r="F793" s="384">
        <v>0</v>
      </c>
      <c r="G793" s="384">
        <v>0</v>
      </c>
      <c r="H793" s="384">
        <v>0</v>
      </c>
      <c r="I793" s="384">
        <v>0</v>
      </c>
      <c r="J793" s="383">
        <v>102907</v>
      </c>
      <c r="K793" s="383">
        <v>104484</v>
      </c>
    </row>
    <row r="794" spans="1:11" x14ac:dyDescent="0.3">
      <c r="A794" t="s">
        <v>2223</v>
      </c>
      <c r="B794" t="s">
        <v>2909</v>
      </c>
      <c r="C794" t="s">
        <v>2913</v>
      </c>
      <c r="D794" s="383">
        <v>134268</v>
      </c>
      <c r="E794" s="384">
        <v>12740547935.129999</v>
      </c>
      <c r="F794" s="384">
        <v>0</v>
      </c>
      <c r="G794" s="384">
        <v>0</v>
      </c>
      <c r="H794" s="384">
        <v>0</v>
      </c>
      <c r="I794" s="384">
        <v>0</v>
      </c>
      <c r="J794" s="383">
        <v>114788</v>
      </c>
      <c r="K794" s="383">
        <v>116893</v>
      </c>
    </row>
    <row r="795" spans="1:11" x14ac:dyDescent="0.3">
      <c r="A795" t="s">
        <v>2223</v>
      </c>
      <c r="B795" t="s">
        <v>2909</v>
      </c>
      <c r="C795" t="s">
        <v>2914</v>
      </c>
      <c r="D795" s="383">
        <v>153260</v>
      </c>
      <c r="E795" s="384">
        <v>17197624052.459999</v>
      </c>
      <c r="F795" s="384">
        <v>0</v>
      </c>
      <c r="G795" s="384">
        <v>0</v>
      </c>
      <c r="H795" s="384">
        <v>0</v>
      </c>
      <c r="I795" s="384">
        <v>0</v>
      </c>
      <c r="J795" s="383">
        <v>131848</v>
      </c>
      <c r="K795" s="383">
        <v>134456</v>
      </c>
    </row>
    <row r="796" spans="1:11" x14ac:dyDescent="0.3">
      <c r="A796" t="s">
        <v>2223</v>
      </c>
      <c r="B796" t="s">
        <v>2909</v>
      </c>
      <c r="C796" t="s">
        <v>2915</v>
      </c>
      <c r="D796" s="383">
        <v>77078</v>
      </c>
      <c r="E796" s="384">
        <v>10248063312.74</v>
      </c>
      <c r="F796" s="384">
        <v>0</v>
      </c>
      <c r="G796" s="384">
        <v>0</v>
      </c>
      <c r="H796" s="384">
        <v>0</v>
      </c>
      <c r="I796" s="384">
        <v>0</v>
      </c>
      <c r="J796" s="383">
        <v>69458</v>
      </c>
      <c r="K796" s="383">
        <v>70139</v>
      </c>
    </row>
    <row r="797" spans="1:11" x14ac:dyDescent="0.3">
      <c r="A797" t="s">
        <v>2223</v>
      </c>
      <c r="B797" t="s">
        <v>2909</v>
      </c>
      <c r="C797" t="s">
        <v>2916</v>
      </c>
      <c r="D797" s="383">
        <v>65821</v>
      </c>
      <c r="E797" s="384">
        <v>9463298552.4400005</v>
      </c>
      <c r="F797" s="384">
        <v>0</v>
      </c>
      <c r="G797" s="384">
        <v>0</v>
      </c>
      <c r="H797" s="384">
        <v>0</v>
      </c>
      <c r="I797" s="384">
        <v>0</v>
      </c>
      <c r="J797" s="383">
        <v>60445</v>
      </c>
      <c r="K797" s="383">
        <v>60855</v>
      </c>
    </row>
    <row r="798" spans="1:11" x14ac:dyDescent="0.3">
      <c r="A798" t="s">
        <v>2223</v>
      </c>
      <c r="B798" t="s">
        <v>2909</v>
      </c>
      <c r="C798" t="s">
        <v>2917</v>
      </c>
      <c r="D798" s="383">
        <v>38897</v>
      </c>
      <c r="E798" s="384">
        <v>5859083779.21</v>
      </c>
      <c r="F798" s="384">
        <v>0</v>
      </c>
      <c r="G798" s="384">
        <v>0</v>
      </c>
      <c r="H798" s="384">
        <v>0</v>
      </c>
      <c r="I798" s="384">
        <v>0</v>
      </c>
      <c r="J798" s="383">
        <v>36726</v>
      </c>
      <c r="K798" s="383">
        <v>36954</v>
      </c>
    </row>
    <row r="799" spans="1:11" x14ac:dyDescent="0.3">
      <c r="A799" t="s">
        <v>2223</v>
      </c>
      <c r="B799" t="s">
        <v>2909</v>
      </c>
      <c r="C799" t="s">
        <v>2918</v>
      </c>
      <c r="D799" s="383">
        <v>18032</v>
      </c>
      <c r="E799" s="384">
        <v>2822350516.5599999</v>
      </c>
      <c r="F799" s="384">
        <v>0</v>
      </c>
      <c r="G799" s="384">
        <v>0</v>
      </c>
      <c r="H799" s="384">
        <v>0</v>
      </c>
      <c r="I799" s="384">
        <v>0</v>
      </c>
      <c r="J799" s="383">
        <v>17326</v>
      </c>
      <c r="K799" s="383">
        <v>17429</v>
      </c>
    </row>
    <row r="800" spans="1:11" x14ac:dyDescent="0.3">
      <c r="A800" t="s">
        <v>2223</v>
      </c>
      <c r="B800" t="s">
        <v>2909</v>
      </c>
      <c r="C800" t="s">
        <v>2919</v>
      </c>
      <c r="D800" s="383">
        <v>85</v>
      </c>
      <c r="E800" s="384">
        <v>3090128.87</v>
      </c>
      <c r="F800" s="384">
        <v>0</v>
      </c>
      <c r="G800" s="384">
        <v>0</v>
      </c>
      <c r="H800" s="384">
        <v>0</v>
      </c>
      <c r="I800" s="384">
        <v>0</v>
      </c>
      <c r="J800" s="383">
        <v>82</v>
      </c>
      <c r="K800" s="383">
        <v>85</v>
      </c>
    </row>
    <row r="801" spans="1:11" x14ac:dyDescent="0.3">
      <c r="A801" t="s">
        <v>2223</v>
      </c>
      <c r="B801" t="s">
        <v>2909</v>
      </c>
      <c r="C801" t="s">
        <v>2920</v>
      </c>
      <c r="D801" s="383">
        <v>16</v>
      </c>
      <c r="E801" s="384">
        <v>1372479.52</v>
      </c>
      <c r="F801" s="384">
        <v>0</v>
      </c>
      <c r="G801" s="384">
        <v>0</v>
      </c>
      <c r="H801" s="384">
        <v>0</v>
      </c>
      <c r="I801" s="384">
        <v>0</v>
      </c>
      <c r="J801" s="383">
        <v>14</v>
      </c>
      <c r="K801" s="383">
        <v>16</v>
      </c>
    </row>
    <row r="802" spans="1:11" x14ac:dyDescent="0.3">
      <c r="A802" t="s">
        <v>2223</v>
      </c>
      <c r="B802" t="s">
        <v>2909</v>
      </c>
      <c r="C802" t="s">
        <v>2921</v>
      </c>
      <c r="D802" s="383">
        <v>21</v>
      </c>
      <c r="E802" s="384">
        <v>1715712.23</v>
      </c>
      <c r="F802" s="384">
        <v>0</v>
      </c>
      <c r="G802" s="384">
        <v>0</v>
      </c>
      <c r="H802" s="384">
        <v>0</v>
      </c>
      <c r="I802" s="384">
        <v>0</v>
      </c>
      <c r="J802" s="383">
        <v>21</v>
      </c>
      <c r="K802" s="383">
        <v>21</v>
      </c>
    </row>
    <row r="803" spans="1:11" x14ac:dyDescent="0.3">
      <c r="A803" t="s">
        <v>2223</v>
      </c>
      <c r="B803" t="s">
        <v>2909</v>
      </c>
      <c r="C803" t="s">
        <v>2922</v>
      </c>
      <c r="D803" s="383">
        <v>17</v>
      </c>
      <c r="E803" s="384">
        <v>1648210.77</v>
      </c>
      <c r="F803" s="384">
        <v>0</v>
      </c>
      <c r="G803" s="384">
        <v>0</v>
      </c>
      <c r="H803" s="384">
        <v>0</v>
      </c>
      <c r="I803" s="384">
        <v>0</v>
      </c>
      <c r="J803" s="383">
        <v>16</v>
      </c>
      <c r="K803" s="383">
        <v>16</v>
      </c>
    </row>
    <row r="804" spans="1:11" x14ac:dyDescent="0.3">
      <c r="A804" t="s">
        <v>2223</v>
      </c>
      <c r="B804" t="s">
        <v>2909</v>
      </c>
      <c r="C804" t="s">
        <v>2923</v>
      </c>
      <c r="D804" s="383">
        <v>8</v>
      </c>
      <c r="E804" s="384">
        <v>770464.11</v>
      </c>
      <c r="F804" s="384">
        <v>0</v>
      </c>
      <c r="G804" s="384">
        <v>0</v>
      </c>
      <c r="H804" s="384">
        <v>0</v>
      </c>
      <c r="I804" s="384">
        <v>0</v>
      </c>
      <c r="J804" s="383">
        <v>8</v>
      </c>
      <c r="K804" s="383">
        <v>8</v>
      </c>
    </row>
    <row r="805" spans="1:11" x14ac:dyDescent="0.3">
      <c r="A805" t="s">
        <v>2223</v>
      </c>
      <c r="B805" t="s">
        <v>2909</v>
      </c>
      <c r="C805" t="s">
        <v>2924</v>
      </c>
      <c r="D805" s="383">
        <v>7</v>
      </c>
      <c r="E805" s="384">
        <v>826561.54</v>
      </c>
      <c r="F805" s="384">
        <v>0</v>
      </c>
      <c r="G805" s="384">
        <v>0</v>
      </c>
      <c r="H805" s="384">
        <v>0</v>
      </c>
      <c r="I805" s="384">
        <v>0</v>
      </c>
      <c r="J805" s="383">
        <v>7</v>
      </c>
      <c r="K805" s="383">
        <v>7</v>
      </c>
    </row>
    <row r="806" spans="1:11" x14ac:dyDescent="0.3">
      <c r="A806" t="s">
        <v>2223</v>
      </c>
      <c r="B806" t="s">
        <v>2909</v>
      </c>
      <c r="C806" t="s">
        <v>2925</v>
      </c>
      <c r="D806" s="383">
        <v>2</v>
      </c>
      <c r="E806" s="384">
        <v>516139.65</v>
      </c>
      <c r="F806" s="384">
        <v>0</v>
      </c>
      <c r="G806" s="384">
        <v>0</v>
      </c>
      <c r="H806" s="384">
        <v>0</v>
      </c>
      <c r="I806" s="384">
        <v>0</v>
      </c>
      <c r="J806" s="383">
        <v>2</v>
      </c>
      <c r="K806" s="383">
        <v>2</v>
      </c>
    </row>
    <row r="807" spans="1:11" x14ac:dyDescent="0.3">
      <c r="A807" t="s">
        <v>2223</v>
      </c>
      <c r="B807" t="s">
        <v>2909</v>
      </c>
      <c r="C807" t="s">
        <v>2926</v>
      </c>
      <c r="D807" s="383">
        <v>2</v>
      </c>
      <c r="E807" s="384">
        <v>184298.43</v>
      </c>
      <c r="F807" s="384">
        <v>0</v>
      </c>
      <c r="G807" s="384">
        <v>0</v>
      </c>
      <c r="H807" s="384">
        <v>0</v>
      </c>
      <c r="I807" s="384">
        <v>0</v>
      </c>
      <c r="J807" s="383">
        <v>2</v>
      </c>
      <c r="K807" s="383">
        <v>2</v>
      </c>
    </row>
    <row r="808" spans="1:11" x14ac:dyDescent="0.3">
      <c r="A808" t="s">
        <v>2223</v>
      </c>
      <c r="B808" t="s">
        <v>2909</v>
      </c>
      <c r="C808" t="s">
        <v>2927</v>
      </c>
      <c r="D808" s="383">
        <v>1</v>
      </c>
      <c r="E808" s="384">
        <v>136941.07999999999</v>
      </c>
      <c r="F808" s="384">
        <v>0</v>
      </c>
      <c r="G808" s="384">
        <v>0</v>
      </c>
      <c r="H808" s="384">
        <v>0</v>
      </c>
      <c r="I808" s="384">
        <v>0</v>
      </c>
      <c r="J808" s="383">
        <v>1</v>
      </c>
      <c r="K808" s="383">
        <v>1</v>
      </c>
    </row>
    <row r="809" spans="1:11" x14ac:dyDescent="0.3">
      <c r="A809" t="s">
        <v>2223</v>
      </c>
      <c r="B809" t="s">
        <v>2909</v>
      </c>
      <c r="C809" t="s">
        <v>2928</v>
      </c>
      <c r="D809" s="383">
        <v>8</v>
      </c>
      <c r="E809" s="384">
        <v>289786.76</v>
      </c>
      <c r="F809" s="384">
        <v>0</v>
      </c>
      <c r="G809" s="384">
        <v>0</v>
      </c>
      <c r="H809" s="384">
        <v>0</v>
      </c>
      <c r="I809" s="384">
        <v>0</v>
      </c>
      <c r="J809" s="383">
        <v>7</v>
      </c>
      <c r="K809" s="383">
        <v>8</v>
      </c>
    </row>
    <row r="810" spans="1:11" x14ac:dyDescent="0.3">
      <c r="A810" t="s">
        <v>2223</v>
      </c>
      <c r="B810" t="s">
        <v>2909</v>
      </c>
      <c r="C810" t="s">
        <v>2929</v>
      </c>
      <c r="D810" s="383">
        <v>1</v>
      </c>
      <c r="E810" s="384">
        <v>47595.79</v>
      </c>
      <c r="F810" s="384">
        <v>0</v>
      </c>
      <c r="G810" s="384">
        <v>0</v>
      </c>
      <c r="H810" s="384">
        <v>0</v>
      </c>
      <c r="I810" s="384">
        <v>0</v>
      </c>
      <c r="J810" s="383">
        <v>1</v>
      </c>
      <c r="K810" s="383">
        <v>1</v>
      </c>
    </row>
    <row r="811" spans="1:11" x14ac:dyDescent="0.3">
      <c r="A811" t="s">
        <v>2223</v>
      </c>
      <c r="B811" t="s">
        <v>2909</v>
      </c>
      <c r="C811" t="s">
        <v>2930</v>
      </c>
      <c r="D811" s="383">
        <v>4</v>
      </c>
      <c r="E811" s="384">
        <v>470323.35</v>
      </c>
      <c r="F811" s="384">
        <v>0</v>
      </c>
      <c r="G811" s="384">
        <v>0</v>
      </c>
      <c r="H811" s="384">
        <v>0</v>
      </c>
      <c r="I811" s="384">
        <v>0</v>
      </c>
      <c r="J811" s="383">
        <v>3</v>
      </c>
      <c r="K811" s="383">
        <v>3</v>
      </c>
    </row>
    <row r="812" spans="1:11" x14ac:dyDescent="0.3">
      <c r="A812" t="s">
        <v>2223</v>
      </c>
      <c r="B812" t="s">
        <v>2909</v>
      </c>
      <c r="C812" t="s">
        <v>2931</v>
      </c>
      <c r="D812" s="383">
        <v>1</v>
      </c>
      <c r="E812" s="384">
        <v>120438.96</v>
      </c>
      <c r="F812" s="384">
        <v>0</v>
      </c>
      <c r="G812" s="384">
        <v>0</v>
      </c>
      <c r="H812" s="384">
        <v>0</v>
      </c>
      <c r="I812" s="384">
        <v>0</v>
      </c>
      <c r="J812" s="383">
        <v>1</v>
      </c>
      <c r="K812" s="383">
        <v>1</v>
      </c>
    </row>
    <row r="813" spans="1:11" x14ac:dyDescent="0.3">
      <c r="A813" t="s">
        <v>2223</v>
      </c>
      <c r="B813" t="s">
        <v>2909</v>
      </c>
      <c r="C813" t="s">
        <v>2932</v>
      </c>
      <c r="D813" s="383">
        <v>1</v>
      </c>
      <c r="E813" s="384">
        <v>101232.2</v>
      </c>
      <c r="F813" s="384">
        <v>0</v>
      </c>
      <c r="G813" s="384">
        <v>0</v>
      </c>
      <c r="H813" s="384">
        <v>0</v>
      </c>
      <c r="I813" s="384">
        <v>0</v>
      </c>
      <c r="J813" s="383">
        <v>1</v>
      </c>
      <c r="K813" s="383">
        <v>1</v>
      </c>
    </row>
    <row r="814" spans="1:11" x14ac:dyDescent="0.3">
      <c r="A814" t="s">
        <v>2223</v>
      </c>
      <c r="B814" t="s">
        <v>2933</v>
      </c>
      <c r="C814" t="s">
        <v>2934</v>
      </c>
      <c r="D814" s="383">
        <v>2023</v>
      </c>
      <c r="E814" s="384">
        <v>69238208.319999993</v>
      </c>
      <c r="F814" s="384">
        <v>0</v>
      </c>
      <c r="G814" s="384">
        <v>0</v>
      </c>
      <c r="H814" s="384">
        <v>0</v>
      </c>
      <c r="I814" s="384">
        <v>0</v>
      </c>
      <c r="J814" s="383">
        <v>1981</v>
      </c>
      <c r="K814" s="383">
        <v>1995</v>
      </c>
    </row>
    <row r="815" spans="1:11" x14ac:dyDescent="0.3">
      <c r="A815" t="s">
        <v>2223</v>
      </c>
      <c r="B815" t="s">
        <v>2933</v>
      </c>
      <c r="C815" t="s">
        <v>2935</v>
      </c>
      <c r="D815" s="383">
        <v>969000</v>
      </c>
      <c r="E815" s="384">
        <v>85203085642.220001</v>
      </c>
      <c r="F815" s="384">
        <v>0</v>
      </c>
      <c r="G815" s="384">
        <v>0</v>
      </c>
      <c r="H815" s="384">
        <v>0</v>
      </c>
      <c r="I815" s="384">
        <v>0</v>
      </c>
      <c r="J815" s="383">
        <v>822274</v>
      </c>
      <c r="K815" s="383">
        <v>874274</v>
      </c>
    </row>
    <row r="816" spans="1:11" x14ac:dyDescent="0.3">
      <c r="A816" t="s">
        <v>2223</v>
      </c>
      <c r="B816" t="s">
        <v>2933</v>
      </c>
      <c r="C816" t="s">
        <v>2936</v>
      </c>
      <c r="D816" s="383">
        <v>201</v>
      </c>
      <c r="E816" s="384">
        <v>3742622.5</v>
      </c>
      <c r="F816" s="384">
        <v>0</v>
      </c>
      <c r="G816" s="384">
        <v>0</v>
      </c>
      <c r="H816" s="384">
        <v>0</v>
      </c>
      <c r="I816" s="384">
        <v>0</v>
      </c>
      <c r="J816" s="383">
        <v>194</v>
      </c>
      <c r="K816" s="383">
        <v>195</v>
      </c>
    </row>
    <row r="817" spans="1:11" x14ac:dyDescent="0.3">
      <c r="A817" t="s">
        <v>2223</v>
      </c>
      <c r="B817" t="s">
        <v>2937</v>
      </c>
      <c r="C817" t="s">
        <v>2938</v>
      </c>
      <c r="D817" s="383">
        <v>1454</v>
      </c>
      <c r="E817" s="384">
        <v>35785118.939999998</v>
      </c>
      <c r="F817" s="384">
        <v>0</v>
      </c>
      <c r="G817" s="384">
        <v>0</v>
      </c>
      <c r="H817" s="384">
        <v>0</v>
      </c>
      <c r="I817" s="384">
        <v>0</v>
      </c>
      <c r="J817" s="383">
        <v>1422</v>
      </c>
      <c r="K817" s="383">
        <v>1431</v>
      </c>
    </row>
    <row r="818" spans="1:11" x14ac:dyDescent="0.3">
      <c r="A818" t="s">
        <v>2223</v>
      </c>
      <c r="B818" t="s">
        <v>2937</v>
      </c>
      <c r="C818" t="s">
        <v>2939</v>
      </c>
      <c r="D818" s="383">
        <v>241</v>
      </c>
      <c r="E818" s="384">
        <v>13202298.710000001</v>
      </c>
      <c r="F818" s="384">
        <v>0</v>
      </c>
      <c r="G818" s="384">
        <v>0</v>
      </c>
      <c r="H818" s="384">
        <v>0</v>
      </c>
      <c r="I818" s="384">
        <v>0</v>
      </c>
      <c r="J818" s="383">
        <v>240</v>
      </c>
      <c r="K818" s="383">
        <v>240</v>
      </c>
    </row>
    <row r="819" spans="1:11" x14ac:dyDescent="0.3">
      <c r="A819" t="s">
        <v>2223</v>
      </c>
      <c r="B819" t="s">
        <v>2937</v>
      </c>
      <c r="C819" t="s">
        <v>2940</v>
      </c>
      <c r="D819" s="383">
        <v>173</v>
      </c>
      <c r="E819" s="384">
        <v>9554638.7799999993</v>
      </c>
      <c r="F819" s="384">
        <v>0</v>
      </c>
      <c r="G819" s="384">
        <v>0</v>
      </c>
      <c r="H819" s="384">
        <v>0</v>
      </c>
      <c r="I819" s="384">
        <v>0</v>
      </c>
      <c r="J819" s="383">
        <v>172</v>
      </c>
      <c r="K819" s="383">
        <v>172</v>
      </c>
    </row>
    <row r="820" spans="1:11" x14ac:dyDescent="0.3">
      <c r="A820" t="s">
        <v>2223</v>
      </c>
      <c r="B820" t="s">
        <v>2937</v>
      </c>
      <c r="C820" t="s">
        <v>2941</v>
      </c>
      <c r="D820" s="383">
        <v>117</v>
      </c>
      <c r="E820" s="384">
        <v>7823512.5499999998</v>
      </c>
      <c r="F820" s="384">
        <v>0</v>
      </c>
      <c r="G820" s="384">
        <v>0</v>
      </c>
      <c r="H820" s="384">
        <v>0</v>
      </c>
      <c r="I820" s="384">
        <v>0</v>
      </c>
      <c r="J820" s="383">
        <v>116</v>
      </c>
      <c r="K820" s="383">
        <v>116</v>
      </c>
    </row>
    <row r="821" spans="1:11" x14ac:dyDescent="0.3">
      <c r="A821" t="s">
        <v>2223</v>
      </c>
      <c r="B821" t="s">
        <v>2937</v>
      </c>
      <c r="C821" t="s">
        <v>2942</v>
      </c>
      <c r="D821" s="383">
        <v>32</v>
      </c>
      <c r="E821" s="384">
        <v>2531950.6800000002</v>
      </c>
      <c r="F821" s="384">
        <v>0</v>
      </c>
      <c r="G821" s="384">
        <v>0</v>
      </c>
      <c r="H821" s="384">
        <v>0</v>
      </c>
      <c r="I821" s="384">
        <v>0</v>
      </c>
      <c r="J821" s="383">
        <v>31</v>
      </c>
      <c r="K821" s="383">
        <v>31</v>
      </c>
    </row>
    <row r="822" spans="1:11" x14ac:dyDescent="0.3">
      <c r="A822" t="s">
        <v>2223</v>
      </c>
      <c r="B822" t="s">
        <v>2937</v>
      </c>
      <c r="C822" t="s">
        <v>2943</v>
      </c>
      <c r="D822" s="383">
        <v>4</v>
      </c>
      <c r="E822" s="384">
        <v>284909.03000000003</v>
      </c>
      <c r="F822" s="384">
        <v>0</v>
      </c>
      <c r="G822" s="384">
        <v>0</v>
      </c>
      <c r="H822" s="384">
        <v>0</v>
      </c>
      <c r="I822" s="384">
        <v>0</v>
      </c>
      <c r="J822" s="383">
        <v>3</v>
      </c>
      <c r="K822" s="383">
        <v>3</v>
      </c>
    </row>
    <row r="823" spans="1:11" x14ac:dyDescent="0.3">
      <c r="A823" t="s">
        <v>2223</v>
      </c>
      <c r="B823" t="s">
        <v>2937</v>
      </c>
      <c r="C823" t="s">
        <v>2944</v>
      </c>
      <c r="D823" s="383">
        <v>2</v>
      </c>
      <c r="E823" s="384">
        <v>55779.63</v>
      </c>
      <c r="F823" s="384">
        <v>0</v>
      </c>
      <c r="G823" s="384">
        <v>0</v>
      </c>
      <c r="H823" s="384">
        <v>0</v>
      </c>
      <c r="I823" s="384">
        <v>0</v>
      </c>
      <c r="J823" s="383">
        <v>2</v>
      </c>
      <c r="K823" s="383">
        <v>2</v>
      </c>
    </row>
    <row r="824" spans="1:11" x14ac:dyDescent="0.3">
      <c r="A824" t="s">
        <v>2223</v>
      </c>
      <c r="B824" t="s">
        <v>2937</v>
      </c>
      <c r="C824" t="s">
        <v>2945</v>
      </c>
      <c r="D824" s="383">
        <v>263446</v>
      </c>
      <c r="E824" s="384">
        <v>9864966885.4300003</v>
      </c>
      <c r="F824" s="384">
        <v>0</v>
      </c>
      <c r="G824" s="384">
        <v>0</v>
      </c>
      <c r="H824" s="384">
        <v>0</v>
      </c>
      <c r="I824" s="384">
        <v>0</v>
      </c>
      <c r="J824" s="383">
        <v>238421</v>
      </c>
      <c r="K824" s="383">
        <v>244693</v>
      </c>
    </row>
    <row r="825" spans="1:11" x14ac:dyDescent="0.3">
      <c r="A825" t="s">
        <v>2223</v>
      </c>
      <c r="B825" t="s">
        <v>2937</v>
      </c>
      <c r="C825" t="s">
        <v>2946</v>
      </c>
      <c r="D825" s="383">
        <v>99387</v>
      </c>
      <c r="E825" s="384">
        <v>7083030363.8500004</v>
      </c>
      <c r="F825" s="384">
        <v>0</v>
      </c>
      <c r="G825" s="384">
        <v>0</v>
      </c>
      <c r="H825" s="384">
        <v>0</v>
      </c>
      <c r="I825" s="384">
        <v>0</v>
      </c>
      <c r="J825" s="383">
        <v>87331</v>
      </c>
      <c r="K825" s="383">
        <v>88538</v>
      </c>
    </row>
    <row r="826" spans="1:11" x14ac:dyDescent="0.3">
      <c r="A826" t="s">
        <v>2223</v>
      </c>
      <c r="B826" t="s">
        <v>2937</v>
      </c>
      <c r="C826" t="s">
        <v>2947</v>
      </c>
      <c r="D826" s="383">
        <v>118927</v>
      </c>
      <c r="E826" s="384">
        <v>9930512109.5499992</v>
      </c>
      <c r="F826" s="384">
        <v>0</v>
      </c>
      <c r="G826" s="384">
        <v>0</v>
      </c>
      <c r="H826" s="384">
        <v>0</v>
      </c>
      <c r="I826" s="384">
        <v>0</v>
      </c>
      <c r="J826" s="383">
        <v>102818</v>
      </c>
      <c r="K826" s="383">
        <v>104395</v>
      </c>
    </row>
    <row r="827" spans="1:11" x14ac:dyDescent="0.3">
      <c r="A827" t="s">
        <v>2223</v>
      </c>
      <c r="B827" t="s">
        <v>2937</v>
      </c>
      <c r="C827" t="s">
        <v>2948</v>
      </c>
      <c r="D827" s="383">
        <v>134169</v>
      </c>
      <c r="E827" s="384">
        <v>12734493072.309999</v>
      </c>
      <c r="F827" s="384">
        <v>0</v>
      </c>
      <c r="G827" s="384">
        <v>0</v>
      </c>
      <c r="H827" s="384">
        <v>0</v>
      </c>
      <c r="I827" s="384">
        <v>0</v>
      </c>
      <c r="J827" s="383">
        <v>114721</v>
      </c>
      <c r="K827" s="383">
        <v>116825</v>
      </c>
    </row>
    <row r="828" spans="1:11" x14ac:dyDescent="0.3">
      <c r="A828" t="s">
        <v>2223</v>
      </c>
      <c r="B828" t="s">
        <v>2937</v>
      </c>
      <c r="C828" t="s">
        <v>2949</v>
      </c>
      <c r="D828" s="383">
        <v>153236</v>
      </c>
      <c r="E828" s="384">
        <v>17195862565.889999</v>
      </c>
      <c r="F828" s="384">
        <v>0</v>
      </c>
      <c r="G828" s="384">
        <v>0</v>
      </c>
      <c r="H828" s="384">
        <v>0</v>
      </c>
      <c r="I828" s="384">
        <v>0</v>
      </c>
      <c r="J828" s="383">
        <v>131829</v>
      </c>
      <c r="K828" s="383">
        <v>134437</v>
      </c>
    </row>
    <row r="829" spans="1:11" x14ac:dyDescent="0.3">
      <c r="A829" t="s">
        <v>2223</v>
      </c>
      <c r="B829" t="s">
        <v>2937</v>
      </c>
      <c r="C829" t="s">
        <v>2950</v>
      </c>
      <c r="D829" s="383">
        <v>77081</v>
      </c>
      <c r="E829" s="384">
        <v>10248604965.25</v>
      </c>
      <c r="F829" s="384">
        <v>0</v>
      </c>
      <c r="G829" s="384">
        <v>0</v>
      </c>
      <c r="H829" s="384">
        <v>0</v>
      </c>
      <c r="I829" s="384">
        <v>0</v>
      </c>
      <c r="J829" s="383">
        <v>69462</v>
      </c>
      <c r="K829" s="383">
        <v>70143</v>
      </c>
    </row>
    <row r="830" spans="1:11" x14ac:dyDescent="0.3">
      <c r="A830" t="s">
        <v>2223</v>
      </c>
      <c r="B830" t="s">
        <v>2937</v>
      </c>
      <c r="C830" t="s">
        <v>2951</v>
      </c>
      <c r="D830" s="383">
        <v>65822</v>
      </c>
      <c r="E830" s="384">
        <v>9463860144.6599998</v>
      </c>
      <c r="F830" s="384">
        <v>0</v>
      </c>
      <c r="G830" s="384">
        <v>0</v>
      </c>
      <c r="H830" s="384">
        <v>0</v>
      </c>
      <c r="I830" s="384">
        <v>0</v>
      </c>
      <c r="J830" s="383">
        <v>60447</v>
      </c>
      <c r="K830" s="383">
        <v>60857</v>
      </c>
    </row>
    <row r="831" spans="1:11" x14ac:dyDescent="0.3">
      <c r="A831" t="s">
        <v>2223</v>
      </c>
      <c r="B831" t="s">
        <v>2937</v>
      </c>
      <c r="C831" t="s">
        <v>2952</v>
      </c>
      <c r="D831" s="383">
        <v>38899</v>
      </c>
      <c r="E831" s="384">
        <v>5859268077.6400003</v>
      </c>
      <c r="F831" s="384">
        <v>0</v>
      </c>
      <c r="G831" s="384">
        <v>0</v>
      </c>
      <c r="H831" s="384">
        <v>0</v>
      </c>
      <c r="I831" s="384">
        <v>0</v>
      </c>
      <c r="J831" s="383">
        <v>36728</v>
      </c>
      <c r="K831" s="383">
        <v>36956</v>
      </c>
    </row>
    <row r="832" spans="1:11" x14ac:dyDescent="0.3">
      <c r="A832" t="s">
        <v>2223</v>
      </c>
      <c r="B832" t="s">
        <v>2937</v>
      </c>
      <c r="C832" t="s">
        <v>2953</v>
      </c>
      <c r="D832" s="383">
        <v>18033</v>
      </c>
      <c r="E832" s="384">
        <v>2822487457.6399999</v>
      </c>
      <c r="F832" s="384">
        <v>0</v>
      </c>
      <c r="G832" s="384">
        <v>0</v>
      </c>
      <c r="H832" s="384">
        <v>0</v>
      </c>
      <c r="I832" s="384">
        <v>0</v>
      </c>
      <c r="J832" s="383">
        <v>17327</v>
      </c>
      <c r="K832" s="383">
        <v>17430</v>
      </c>
    </row>
    <row r="833" spans="1:11" x14ac:dyDescent="0.3">
      <c r="A833" t="s">
        <v>2223</v>
      </c>
      <c r="B833" t="s">
        <v>2937</v>
      </c>
      <c r="C833" t="s">
        <v>2954</v>
      </c>
      <c r="D833" s="383">
        <v>192</v>
      </c>
      <c r="E833" s="384">
        <v>3338309.11</v>
      </c>
      <c r="F833" s="384">
        <v>0</v>
      </c>
      <c r="G833" s="384">
        <v>0</v>
      </c>
      <c r="H833" s="384">
        <v>0</v>
      </c>
      <c r="I833" s="384">
        <v>0</v>
      </c>
      <c r="J833" s="383">
        <v>185</v>
      </c>
      <c r="K833" s="383">
        <v>186</v>
      </c>
    </row>
    <row r="834" spans="1:11" x14ac:dyDescent="0.3">
      <c r="A834" t="s">
        <v>2223</v>
      </c>
      <c r="B834" t="s">
        <v>2937</v>
      </c>
      <c r="C834" t="s">
        <v>2955</v>
      </c>
      <c r="D834" s="383">
        <v>6</v>
      </c>
      <c r="E834" s="384">
        <v>269801.84000000003</v>
      </c>
      <c r="F834" s="384">
        <v>0</v>
      </c>
      <c r="G834" s="384">
        <v>0</v>
      </c>
      <c r="H834" s="384">
        <v>0</v>
      </c>
      <c r="I834" s="384">
        <v>0</v>
      </c>
      <c r="J834" s="383">
        <v>6</v>
      </c>
      <c r="K834" s="383">
        <v>6</v>
      </c>
    </row>
    <row r="835" spans="1:11" x14ac:dyDescent="0.3">
      <c r="A835" t="s">
        <v>2223</v>
      </c>
      <c r="B835" t="s">
        <v>2937</v>
      </c>
      <c r="C835" t="s">
        <v>2956</v>
      </c>
      <c r="D835" s="383">
        <v>3</v>
      </c>
      <c r="E835" s="384">
        <v>134511.54999999999</v>
      </c>
      <c r="F835" s="384">
        <v>0</v>
      </c>
      <c r="G835" s="384">
        <v>0</v>
      </c>
      <c r="H835" s="384">
        <v>0</v>
      </c>
      <c r="I835" s="384">
        <v>0</v>
      </c>
      <c r="J835" s="383">
        <v>3</v>
      </c>
      <c r="K835" s="383">
        <v>3</v>
      </c>
    </row>
    <row r="836" spans="1:11" x14ac:dyDescent="0.3">
      <c r="A836" t="s">
        <v>2225</v>
      </c>
      <c r="B836" t="s">
        <v>2957</v>
      </c>
      <c r="C836" t="s">
        <v>2958</v>
      </c>
      <c r="D836" s="383">
        <v>127339</v>
      </c>
      <c r="E836" s="384">
        <v>14764685717.42</v>
      </c>
      <c r="F836" s="384">
        <v>0</v>
      </c>
      <c r="G836" s="384">
        <v>0</v>
      </c>
      <c r="H836" s="384">
        <v>0</v>
      </c>
      <c r="I836" s="384">
        <v>0</v>
      </c>
      <c r="J836" s="383">
        <v>104389</v>
      </c>
      <c r="K836" s="383">
        <v>105132</v>
      </c>
    </row>
    <row r="837" spans="1:11" x14ac:dyDescent="0.3">
      <c r="A837" t="s">
        <v>2223</v>
      </c>
      <c r="B837" t="s">
        <v>2957</v>
      </c>
      <c r="C837" t="s">
        <v>2958</v>
      </c>
      <c r="D837" s="383">
        <v>970872</v>
      </c>
      <c r="E837" s="384">
        <v>85268201208.289993</v>
      </c>
      <c r="F837" s="384">
        <v>0</v>
      </c>
      <c r="G837" s="384">
        <v>0</v>
      </c>
      <c r="H837" s="384">
        <v>0</v>
      </c>
      <c r="I837" s="384">
        <v>0</v>
      </c>
      <c r="J837" s="383">
        <v>823615</v>
      </c>
      <c r="K837" s="383">
        <v>875742</v>
      </c>
    </row>
    <row r="838" spans="1:11" x14ac:dyDescent="0.3">
      <c r="A838" t="s">
        <v>2223</v>
      </c>
      <c r="B838" t="s">
        <v>2957</v>
      </c>
      <c r="C838" t="s">
        <v>2424</v>
      </c>
      <c r="D838" s="383">
        <v>352</v>
      </c>
      <c r="E838" s="384">
        <v>7865264.75</v>
      </c>
      <c r="F838" s="384">
        <v>0</v>
      </c>
      <c r="G838" s="384">
        <v>0</v>
      </c>
      <c r="H838" s="384">
        <v>0</v>
      </c>
      <c r="I838" s="384">
        <v>0</v>
      </c>
      <c r="J838" s="383">
        <v>343</v>
      </c>
      <c r="K838" s="383">
        <v>344</v>
      </c>
    </row>
    <row r="839" spans="1:11" x14ac:dyDescent="0.3">
      <c r="A839" t="s">
        <v>2223</v>
      </c>
      <c r="B839" t="s">
        <v>2959</v>
      </c>
      <c r="C839" t="s">
        <v>2960</v>
      </c>
      <c r="D839" s="383">
        <v>264778</v>
      </c>
      <c r="E839" s="384">
        <v>9898261077.8600006</v>
      </c>
      <c r="F839" s="384">
        <v>0</v>
      </c>
      <c r="G839" s="384">
        <v>0</v>
      </c>
      <c r="H839" s="384">
        <v>0</v>
      </c>
      <c r="I839" s="384">
        <v>0</v>
      </c>
      <c r="J839" s="383">
        <v>239472</v>
      </c>
      <c r="K839" s="383">
        <v>245786</v>
      </c>
    </row>
    <row r="840" spans="1:11" x14ac:dyDescent="0.3">
      <c r="A840" t="s">
        <v>2223</v>
      </c>
      <c r="B840" t="s">
        <v>2959</v>
      </c>
      <c r="C840" t="s">
        <v>2961</v>
      </c>
      <c r="D840" s="383">
        <v>99610</v>
      </c>
      <c r="E840" s="384">
        <v>7095253888.9499998</v>
      </c>
      <c r="F840" s="384">
        <v>0</v>
      </c>
      <c r="G840" s="384">
        <v>0</v>
      </c>
      <c r="H840" s="384">
        <v>0</v>
      </c>
      <c r="I840" s="384">
        <v>0</v>
      </c>
      <c r="J840" s="383">
        <v>87486</v>
      </c>
      <c r="K840" s="383">
        <v>88696</v>
      </c>
    </row>
    <row r="841" spans="1:11" x14ac:dyDescent="0.3">
      <c r="A841" t="s">
        <v>2223</v>
      </c>
      <c r="B841" t="s">
        <v>2959</v>
      </c>
      <c r="C841" t="s">
        <v>2962</v>
      </c>
      <c r="D841" s="383">
        <v>119090</v>
      </c>
      <c r="E841" s="384">
        <v>9939491721.3400002</v>
      </c>
      <c r="F841" s="384">
        <v>0</v>
      </c>
      <c r="G841" s="384">
        <v>0</v>
      </c>
      <c r="H841" s="384">
        <v>0</v>
      </c>
      <c r="I841" s="384">
        <v>0</v>
      </c>
      <c r="J841" s="383">
        <v>102919</v>
      </c>
      <c r="K841" s="383">
        <v>104497</v>
      </c>
    </row>
    <row r="842" spans="1:11" x14ac:dyDescent="0.3">
      <c r="A842" t="s">
        <v>2223</v>
      </c>
      <c r="B842" t="s">
        <v>2959</v>
      </c>
      <c r="C842" t="s">
        <v>2963</v>
      </c>
      <c r="D842" s="383">
        <v>134285</v>
      </c>
      <c r="E842" s="384">
        <v>12742238669.719999</v>
      </c>
      <c r="F842" s="384">
        <v>0</v>
      </c>
      <c r="G842" s="384">
        <v>0</v>
      </c>
      <c r="H842" s="384">
        <v>0</v>
      </c>
      <c r="I842" s="384">
        <v>0</v>
      </c>
      <c r="J842" s="383">
        <v>114804</v>
      </c>
      <c r="K842" s="383">
        <v>116909</v>
      </c>
    </row>
    <row r="843" spans="1:11" x14ac:dyDescent="0.3">
      <c r="A843" t="s">
        <v>2223</v>
      </c>
      <c r="B843" t="s">
        <v>2959</v>
      </c>
      <c r="C843" t="s">
        <v>2964</v>
      </c>
      <c r="D843" s="383">
        <v>153268</v>
      </c>
      <c r="E843" s="384">
        <v>17198394516.57</v>
      </c>
      <c r="F843" s="384">
        <v>0</v>
      </c>
      <c r="G843" s="384">
        <v>0</v>
      </c>
      <c r="H843" s="384">
        <v>0</v>
      </c>
      <c r="I843" s="384">
        <v>0</v>
      </c>
      <c r="J843" s="383">
        <v>131856</v>
      </c>
      <c r="K843" s="383">
        <v>134464</v>
      </c>
    </row>
    <row r="844" spans="1:11" x14ac:dyDescent="0.3">
      <c r="A844" t="s">
        <v>2223</v>
      </c>
      <c r="B844" t="s">
        <v>2959</v>
      </c>
      <c r="C844" t="s">
        <v>2965</v>
      </c>
      <c r="D844" s="383">
        <v>77085</v>
      </c>
      <c r="E844" s="384">
        <v>10248889874.280001</v>
      </c>
      <c r="F844" s="384">
        <v>0</v>
      </c>
      <c r="G844" s="384">
        <v>0</v>
      </c>
      <c r="H844" s="384">
        <v>0</v>
      </c>
      <c r="I844" s="384">
        <v>0</v>
      </c>
      <c r="J844" s="383">
        <v>69465</v>
      </c>
      <c r="K844" s="383">
        <v>70146</v>
      </c>
    </row>
    <row r="845" spans="1:11" x14ac:dyDescent="0.3">
      <c r="A845" t="s">
        <v>2223</v>
      </c>
      <c r="B845" t="s">
        <v>2959</v>
      </c>
      <c r="C845" t="s">
        <v>2966</v>
      </c>
      <c r="D845" s="383">
        <v>65824</v>
      </c>
      <c r="E845" s="384">
        <v>9463915924.2900009</v>
      </c>
      <c r="F845" s="384">
        <v>0</v>
      </c>
      <c r="G845" s="384">
        <v>0</v>
      </c>
      <c r="H845" s="384">
        <v>0</v>
      </c>
      <c r="I845" s="384">
        <v>0</v>
      </c>
      <c r="J845" s="383">
        <v>60448</v>
      </c>
      <c r="K845" s="383">
        <v>60858</v>
      </c>
    </row>
    <row r="846" spans="1:11" x14ac:dyDescent="0.3">
      <c r="A846" t="s">
        <v>2223</v>
      </c>
      <c r="B846" t="s">
        <v>2959</v>
      </c>
      <c r="C846" t="s">
        <v>2967</v>
      </c>
      <c r="D846" s="383">
        <v>38899</v>
      </c>
      <c r="E846" s="384">
        <v>5859268077.6400003</v>
      </c>
      <c r="F846" s="384">
        <v>0</v>
      </c>
      <c r="G846" s="384">
        <v>0</v>
      </c>
      <c r="H846" s="384">
        <v>0</v>
      </c>
      <c r="I846" s="384">
        <v>0</v>
      </c>
      <c r="J846" s="383">
        <v>36728</v>
      </c>
      <c r="K846" s="383">
        <v>36956</v>
      </c>
    </row>
    <row r="847" spans="1:11" x14ac:dyDescent="0.3">
      <c r="A847" t="s">
        <v>2223</v>
      </c>
      <c r="B847" t="s">
        <v>2959</v>
      </c>
      <c r="C847" t="s">
        <v>2968</v>
      </c>
      <c r="D847" s="383">
        <v>18033</v>
      </c>
      <c r="E847" s="384">
        <v>2822487457.6399999</v>
      </c>
      <c r="F847" s="384">
        <v>0</v>
      </c>
      <c r="G847" s="384">
        <v>0</v>
      </c>
      <c r="H847" s="384">
        <v>0</v>
      </c>
      <c r="I847" s="384">
        <v>0</v>
      </c>
      <c r="J847" s="383">
        <v>17327</v>
      </c>
      <c r="K847" s="383">
        <v>17430</v>
      </c>
    </row>
    <row r="848" spans="1:11" x14ac:dyDescent="0.3">
      <c r="A848" t="s">
        <v>2223</v>
      </c>
      <c r="B848" t="s">
        <v>2959</v>
      </c>
      <c r="C848" t="s">
        <v>2969</v>
      </c>
      <c r="D848" s="383">
        <v>314</v>
      </c>
      <c r="E848" s="384">
        <v>5829235.6200000001</v>
      </c>
      <c r="F848" s="384">
        <v>0</v>
      </c>
      <c r="G848" s="384">
        <v>0</v>
      </c>
      <c r="H848" s="384">
        <v>0</v>
      </c>
      <c r="I848" s="384">
        <v>0</v>
      </c>
      <c r="J848" s="383">
        <v>306</v>
      </c>
      <c r="K848" s="383">
        <v>307</v>
      </c>
    </row>
    <row r="849" spans="1:11" x14ac:dyDescent="0.3">
      <c r="A849" t="s">
        <v>2223</v>
      </c>
      <c r="B849" t="s">
        <v>2959</v>
      </c>
      <c r="C849" t="s">
        <v>2970</v>
      </c>
      <c r="D849" s="383">
        <v>24</v>
      </c>
      <c r="E849" s="384">
        <v>1248575.45</v>
      </c>
      <c r="F849" s="384">
        <v>0</v>
      </c>
      <c r="G849" s="384">
        <v>0</v>
      </c>
      <c r="H849" s="384">
        <v>0</v>
      </c>
      <c r="I849" s="384">
        <v>0</v>
      </c>
      <c r="J849" s="383">
        <v>24</v>
      </c>
      <c r="K849" s="383">
        <v>24</v>
      </c>
    </row>
    <row r="850" spans="1:11" x14ac:dyDescent="0.3">
      <c r="A850" t="s">
        <v>2223</v>
      </c>
      <c r="B850" t="s">
        <v>2959</v>
      </c>
      <c r="C850" t="s">
        <v>2971</v>
      </c>
      <c r="D850" s="383">
        <v>13</v>
      </c>
      <c r="E850" s="384">
        <v>709538.54</v>
      </c>
      <c r="F850" s="384">
        <v>0</v>
      </c>
      <c r="G850" s="384">
        <v>0</v>
      </c>
      <c r="H850" s="384">
        <v>0</v>
      </c>
      <c r="I850" s="384">
        <v>0</v>
      </c>
      <c r="J850" s="383">
        <v>12</v>
      </c>
      <c r="K850" s="383">
        <v>12</v>
      </c>
    </row>
    <row r="851" spans="1:11" x14ac:dyDescent="0.3">
      <c r="A851" t="s">
        <v>2223</v>
      </c>
      <c r="B851" t="s">
        <v>2959</v>
      </c>
      <c r="C851" t="s">
        <v>2972</v>
      </c>
      <c r="D851" s="383">
        <v>1</v>
      </c>
      <c r="E851" s="384">
        <v>77915.14</v>
      </c>
      <c r="F851" s="384">
        <v>0</v>
      </c>
      <c r="G851" s="384">
        <v>0</v>
      </c>
      <c r="H851" s="384">
        <v>0</v>
      </c>
      <c r="I851" s="384">
        <v>0</v>
      </c>
      <c r="J851" s="383">
        <v>1</v>
      </c>
      <c r="K851" s="383">
        <v>1</v>
      </c>
    </row>
    <row r="852" spans="1:11" x14ac:dyDescent="0.3">
      <c r="A852" t="s">
        <v>2419</v>
      </c>
      <c r="B852" t="s">
        <v>2973</v>
      </c>
      <c r="C852" t="s">
        <v>2974</v>
      </c>
      <c r="D852" s="383">
        <v>11</v>
      </c>
      <c r="E852" s="384">
        <v>8165000000</v>
      </c>
      <c r="F852" s="384">
        <v>0</v>
      </c>
      <c r="G852" s="384">
        <v>0</v>
      </c>
      <c r="H852" s="384">
        <v>0</v>
      </c>
      <c r="I852" s="384">
        <v>0</v>
      </c>
      <c r="J852" s="383">
        <v>0</v>
      </c>
      <c r="K852" s="383">
        <v>0</v>
      </c>
    </row>
    <row r="853" spans="1:11" x14ac:dyDescent="0.3">
      <c r="A853" t="s">
        <v>2419</v>
      </c>
      <c r="B853" t="s">
        <v>2973</v>
      </c>
      <c r="C853" t="s">
        <v>2975</v>
      </c>
      <c r="D853" s="383">
        <v>33</v>
      </c>
      <c r="E853" s="384">
        <v>13250700000</v>
      </c>
      <c r="F853" s="384">
        <v>0</v>
      </c>
      <c r="G853" s="384">
        <v>0</v>
      </c>
      <c r="H853" s="384">
        <v>0</v>
      </c>
      <c r="I853" s="384">
        <v>0</v>
      </c>
      <c r="J853" s="383">
        <v>0</v>
      </c>
      <c r="K853" s="383">
        <v>0</v>
      </c>
    </row>
    <row r="854" spans="1:11" x14ac:dyDescent="0.3">
      <c r="A854" t="s">
        <v>2419</v>
      </c>
      <c r="B854" t="s">
        <v>2973</v>
      </c>
      <c r="C854" t="s">
        <v>2976</v>
      </c>
      <c r="D854" s="383">
        <v>22</v>
      </c>
      <c r="E854" s="384">
        <v>7543000000</v>
      </c>
      <c r="F854" s="384">
        <v>0</v>
      </c>
      <c r="G854" s="384">
        <v>0</v>
      </c>
      <c r="H854" s="384">
        <v>0</v>
      </c>
      <c r="I854" s="384">
        <v>0</v>
      </c>
      <c r="J854" s="383">
        <v>0</v>
      </c>
      <c r="K854" s="383">
        <v>0</v>
      </c>
    </row>
    <row r="855" spans="1:11" x14ac:dyDescent="0.3">
      <c r="A855" t="s">
        <v>2419</v>
      </c>
      <c r="B855" t="s">
        <v>2973</v>
      </c>
      <c r="C855" t="s">
        <v>2977</v>
      </c>
      <c r="D855" s="383">
        <v>18</v>
      </c>
      <c r="E855" s="384">
        <v>5403300000</v>
      </c>
      <c r="F855" s="384">
        <v>0</v>
      </c>
      <c r="G855" s="384">
        <v>0</v>
      </c>
      <c r="H855" s="384">
        <v>0</v>
      </c>
      <c r="I855" s="384">
        <v>0</v>
      </c>
      <c r="J855" s="383">
        <v>0</v>
      </c>
      <c r="K855" s="383">
        <v>0</v>
      </c>
    </row>
    <row r="856" spans="1:11" x14ac:dyDescent="0.3">
      <c r="A856" t="s">
        <v>2419</v>
      </c>
      <c r="B856" t="s">
        <v>2978</v>
      </c>
      <c r="C856" t="s">
        <v>2979</v>
      </c>
      <c r="D856" s="383">
        <v>7</v>
      </c>
      <c r="E856" s="384">
        <v>8100000000</v>
      </c>
      <c r="F856" s="384">
        <v>0</v>
      </c>
      <c r="G856" s="384">
        <v>0</v>
      </c>
      <c r="H856" s="384">
        <v>0</v>
      </c>
      <c r="I856" s="384">
        <v>0</v>
      </c>
      <c r="J856" s="383">
        <v>0</v>
      </c>
      <c r="K856" s="383">
        <v>0</v>
      </c>
    </row>
    <row r="857" spans="1:11" x14ac:dyDescent="0.3">
      <c r="A857" t="s">
        <v>2419</v>
      </c>
      <c r="B857" t="s">
        <v>2978</v>
      </c>
      <c r="C857" t="s">
        <v>2980</v>
      </c>
      <c r="D857" s="383">
        <v>7</v>
      </c>
      <c r="E857" s="384">
        <v>7400000000</v>
      </c>
      <c r="F857" s="384">
        <v>0</v>
      </c>
      <c r="G857" s="384">
        <v>0</v>
      </c>
      <c r="H857" s="384">
        <v>0</v>
      </c>
      <c r="I857" s="384">
        <v>0</v>
      </c>
      <c r="J857" s="383">
        <v>0</v>
      </c>
      <c r="K857" s="383">
        <v>0</v>
      </c>
    </row>
    <row r="858" spans="1:11" x14ac:dyDescent="0.3">
      <c r="A858" t="s">
        <v>2419</v>
      </c>
      <c r="B858" t="s">
        <v>2978</v>
      </c>
      <c r="C858" t="s">
        <v>2981</v>
      </c>
      <c r="D858" s="383">
        <v>4</v>
      </c>
      <c r="E858" s="384">
        <v>4500000000</v>
      </c>
      <c r="F858" s="384">
        <v>0</v>
      </c>
      <c r="G858" s="384">
        <v>0</v>
      </c>
      <c r="H858" s="384">
        <v>0</v>
      </c>
      <c r="I858" s="384">
        <v>0</v>
      </c>
      <c r="J858" s="383">
        <v>0</v>
      </c>
      <c r="K858" s="383">
        <v>0</v>
      </c>
    </row>
    <row r="859" spans="1:11" x14ac:dyDescent="0.3">
      <c r="A859" t="s">
        <v>2419</v>
      </c>
      <c r="B859" t="s">
        <v>2978</v>
      </c>
      <c r="C859" t="s">
        <v>2982</v>
      </c>
      <c r="D859" s="383">
        <v>2</v>
      </c>
      <c r="E859" s="384">
        <v>3000000000</v>
      </c>
      <c r="F859" s="384">
        <v>0</v>
      </c>
      <c r="G859" s="384">
        <v>0</v>
      </c>
      <c r="H859" s="384">
        <v>0</v>
      </c>
      <c r="I859" s="384">
        <v>0</v>
      </c>
      <c r="J859" s="383">
        <v>0</v>
      </c>
      <c r="K859" s="383">
        <v>0</v>
      </c>
    </row>
    <row r="860" spans="1:11" x14ac:dyDescent="0.3">
      <c r="A860" t="s">
        <v>2419</v>
      </c>
      <c r="B860" t="s">
        <v>2978</v>
      </c>
      <c r="C860" t="s">
        <v>2983</v>
      </c>
      <c r="D860" s="383">
        <v>4</v>
      </c>
      <c r="E860" s="384">
        <v>65000000</v>
      </c>
      <c r="F860" s="384">
        <v>0</v>
      </c>
      <c r="G860" s="384">
        <v>0</v>
      </c>
      <c r="H860" s="384">
        <v>0</v>
      </c>
      <c r="I860" s="384">
        <v>0</v>
      </c>
      <c r="J860" s="383">
        <v>0</v>
      </c>
      <c r="K860" s="383">
        <v>0</v>
      </c>
    </row>
    <row r="861" spans="1:11" x14ac:dyDescent="0.3">
      <c r="A861" t="s">
        <v>2419</v>
      </c>
      <c r="B861" t="s">
        <v>2978</v>
      </c>
      <c r="C861" t="s">
        <v>2984</v>
      </c>
      <c r="D861" s="383">
        <v>26</v>
      </c>
      <c r="E861" s="384">
        <v>5850700000</v>
      </c>
      <c r="F861" s="384">
        <v>0</v>
      </c>
      <c r="G861" s="384">
        <v>0</v>
      </c>
      <c r="H861" s="384">
        <v>0</v>
      </c>
      <c r="I861" s="384">
        <v>0</v>
      </c>
      <c r="J861" s="383">
        <v>0</v>
      </c>
      <c r="K861" s="383">
        <v>0</v>
      </c>
    </row>
    <row r="862" spans="1:11" x14ac:dyDescent="0.3">
      <c r="A862" t="s">
        <v>2419</v>
      </c>
      <c r="B862" t="s">
        <v>2978</v>
      </c>
      <c r="C862" t="s">
        <v>2985</v>
      </c>
      <c r="D862" s="383">
        <v>18</v>
      </c>
      <c r="E862" s="384">
        <v>3043000000</v>
      </c>
      <c r="F862" s="384">
        <v>0</v>
      </c>
      <c r="G862" s="384">
        <v>0</v>
      </c>
      <c r="H862" s="384">
        <v>0</v>
      </c>
      <c r="I862" s="384">
        <v>0</v>
      </c>
      <c r="J862" s="383">
        <v>0</v>
      </c>
      <c r="K862" s="383">
        <v>0</v>
      </c>
    </row>
    <row r="863" spans="1:11" x14ac:dyDescent="0.3">
      <c r="A863" t="s">
        <v>2419</v>
      </c>
      <c r="B863" t="s">
        <v>2978</v>
      </c>
      <c r="C863" t="s">
        <v>2986</v>
      </c>
      <c r="D863" s="383">
        <v>16</v>
      </c>
      <c r="E863" s="384">
        <v>2403300000</v>
      </c>
      <c r="F863" s="384">
        <v>0</v>
      </c>
      <c r="G863" s="384">
        <v>0</v>
      </c>
      <c r="H863" s="384">
        <v>0</v>
      </c>
      <c r="I863" s="384">
        <v>0</v>
      </c>
      <c r="J863" s="383">
        <v>0</v>
      </c>
      <c r="K863" s="383">
        <v>0</v>
      </c>
    </row>
    <row r="864" spans="1:11" x14ac:dyDescent="0.3">
      <c r="A864" t="s">
        <v>2419</v>
      </c>
      <c r="B864" t="s">
        <v>2987</v>
      </c>
      <c r="C864" t="s">
        <v>2988</v>
      </c>
      <c r="D864" s="383">
        <v>9</v>
      </c>
      <c r="E864" s="384">
        <v>8125000000</v>
      </c>
      <c r="F864" s="384">
        <v>0</v>
      </c>
      <c r="G864" s="384">
        <v>0</v>
      </c>
      <c r="H864" s="384">
        <v>0</v>
      </c>
      <c r="I864" s="384">
        <v>0</v>
      </c>
      <c r="J864" s="383">
        <v>0</v>
      </c>
      <c r="K864" s="383">
        <v>0</v>
      </c>
    </row>
    <row r="865" spans="1:11" x14ac:dyDescent="0.3">
      <c r="A865" t="s">
        <v>2419</v>
      </c>
      <c r="B865" t="s">
        <v>2987</v>
      </c>
      <c r="C865" t="s">
        <v>2989</v>
      </c>
      <c r="D865" s="383">
        <v>33</v>
      </c>
      <c r="E865" s="384">
        <v>13250700000</v>
      </c>
      <c r="F865" s="384">
        <v>0</v>
      </c>
      <c r="G865" s="384">
        <v>0</v>
      </c>
      <c r="H865" s="384">
        <v>0</v>
      </c>
      <c r="I865" s="384">
        <v>0</v>
      </c>
      <c r="J865" s="383">
        <v>0</v>
      </c>
      <c r="K865" s="383">
        <v>0</v>
      </c>
    </row>
    <row r="866" spans="1:11" x14ac:dyDescent="0.3">
      <c r="A866" t="s">
        <v>2419</v>
      </c>
      <c r="B866" t="s">
        <v>2987</v>
      </c>
      <c r="C866" t="s">
        <v>2990</v>
      </c>
      <c r="D866" s="383">
        <v>22</v>
      </c>
      <c r="E866" s="384">
        <v>7543000000</v>
      </c>
      <c r="F866" s="384">
        <v>0</v>
      </c>
      <c r="G866" s="384">
        <v>0</v>
      </c>
      <c r="H866" s="384">
        <v>0</v>
      </c>
      <c r="I866" s="384">
        <v>0</v>
      </c>
      <c r="J866" s="383">
        <v>0</v>
      </c>
      <c r="K866" s="383">
        <v>0</v>
      </c>
    </row>
    <row r="867" spans="1:11" x14ac:dyDescent="0.3">
      <c r="A867" t="s">
        <v>2419</v>
      </c>
      <c r="B867" t="s">
        <v>2987</v>
      </c>
      <c r="C867" t="s">
        <v>2991</v>
      </c>
      <c r="D867" s="383">
        <v>18</v>
      </c>
      <c r="E867" s="384">
        <v>5403300000</v>
      </c>
      <c r="F867" s="384">
        <v>0</v>
      </c>
      <c r="G867" s="384">
        <v>0</v>
      </c>
      <c r="H867" s="384">
        <v>0</v>
      </c>
      <c r="I867" s="384">
        <v>0</v>
      </c>
      <c r="J867" s="383">
        <v>0</v>
      </c>
      <c r="K867" s="383">
        <v>0</v>
      </c>
    </row>
    <row r="868" spans="1:11" x14ac:dyDescent="0.3">
      <c r="A868" t="s">
        <v>2419</v>
      </c>
      <c r="B868" t="s">
        <v>2987</v>
      </c>
      <c r="C868" t="s">
        <v>2992</v>
      </c>
      <c r="D868" s="383">
        <v>2</v>
      </c>
      <c r="E868" s="384">
        <v>40000000</v>
      </c>
      <c r="F868" s="384">
        <v>0</v>
      </c>
      <c r="G868" s="384">
        <v>0</v>
      </c>
      <c r="H868" s="384">
        <v>0</v>
      </c>
      <c r="I868" s="384">
        <v>0</v>
      </c>
      <c r="J868" s="383">
        <v>0</v>
      </c>
      <c r="K868" s="383">
        <v>0</v>
      </c>
    </row>
    <row r="869" spans="1:11" x14ac:dyDescent="0.3">
      <c r="A869" t="s">
        <v>2225</v>
      </c>
      <c r="B869" t="s">
        <v>2993</v>
      </c>
      <c r="C869" t="s">
        <v>637</v>
      </c>
      <c r="D869" s="383">
        <v>109297</v>
      </c>
      <c r="E869" s="384">
        <v>12601215561.02</v>
      </c>
      <c r="F869" s="384">
        <v>0</v>
      </c>
      <c r="G869" s="384">
        <v>0</v>
      </c>
      <c r="H869" s="384">
        <v>0</v>
      </c>
      <c r="I869" s="384">
        <v>0</v>
      </c>
      <c r="J869" s="383">
        <v>88842</v>
      </c>
      <c r="K869" s="383">
        <v>89369</v>
      </c>
    </row>
    <row r="870" spans="1:11" x14ac:dyDescent="0.3">
      <c r="A870" t="s">
        <v>2225</v>
      </c>
      <c r="B870" t="s">
        <v>2993</v>
      </c>
      <c r="C870" t="s">
        <v>630</v>
      </c>
      <c r="D870" s="383">
        <v>18042</v>
      </c>
      <c r="E870" s="384">
        <v>2163470156.4000001</v>
      </c>
      <c r="F870" s="384">
        <v>0</v>
      </c>
      <c r="G870" s="384">
        <v>0</v>
      </c>
      <c r="H870" s="384">
        <v>0</v>
      </c>
      <c r="I870" s="384">
        <v>0</v>
      </c>
      <c r="J870" s="383">
        <v>15617</v>
      </c>
      <c r="K870" s="383">
        <v>15763</v>
      </c>
    </row>
    <row r="871" spans="1:11" x14ac:dyDescent="0.3">
      <c r="A871" t="s">
        <v>2223</v>
      </c>
      <c r="B871" t="s">
        <v>2994</v>
      </c>
      <c r="C871" t="s">
        <v>2995</v>
      </c>
      <c r="D871" s="383">
        <v>181927</v>
      </c>
      <c r="E871" s="384">
        <v>7442573877.1700001</v>
      </c>
      <c r="F871" s="384">
        <v>0</v>
      </c>
      <c r="G871" s="384">
        <v>0</v>
      </c>
      <c r="H871" s="384">
        <v>0.27</v>
      </c>
      <c r="I871" s="384">
        <v>0</v>
      </c>
      <c r="J871" s="383">
        <v>165404</v>
      </c>
      <c r="K871" s="383">
        <v>168528</v>
      </c>
    </row>
    <row r="872" spans="1:11" x14ac:dyDescent="0.3">
      <c r="A872" t="s">
        <v>2223</v>
      </c>
      <c r="B872" t="s">
        <v>2994</v>
      </c>
      <c r="C872" t="s">
        <v>2996</v>
      </c>
      <c r="D872" s="383">
        <v>66395</v>
      </c>
      <c r="E872" s="384">
        <v>5138545108.6599998</v>
      </c>
      <c r="F872" s="384">
        <v>0</v>
      </c>
      <c r="G872" s="384">
        <v>0</v>
      </c>
      <c r="H872" s="384">
        <v>0.45</v>
      </c>
      <c r="I872" s="384">
        <v>0</v>
      </c>
      <c r="J872" s="383">
        <v>58550</v>
      </c>
      <c r="K872" s="383">
        <v>59148</v>
      </c>
    </row>
    <row r="873" spans="1:11" x14ac:dyDescent="0.3">
      <c r="A873" t="s">
        <v>2223</v>
      </c>
      <c r="B873" t="s">
        <v>2994</v>
      </c>
      <c r="C873" t="s">
        <v>2997</v>
      </c>
      <c r="D873" s="383">
        <v>77570</v>
      </c>
      <c r="E873" s="384">
        <v>6960296116.0200005</v>
      </c>
      <c r="F873" s="384">
        <v>0</v>
      </c>
      <c r="G873" s="384">
        <v>0</v>
      </c>
      <c r="H873" s="384">
        <v>0.55000000000000004</v>
      </c>
      <c r="I873" s="384">
        <v>0</v>
      </c>
      <c r="J873" s="383">
        <v>67792</v>
      </c>
      <c r="K873" s="383">
        <v>68493</v>
      </c>
    </row>
    <row r="874" spans="1:11" x14ac:dyDescent="0.3">
      <c r="A874" t="s">
        <v>2223</v>
      </c>
      <c r="B874" t="s">
        <v>2994</v>
      </c>
      <c r="C874" t="s">
        <v>2998</v>
      </c>
      <c r="D874" s="383">
        <v>91432</v>
      </c>
      <c r="E874" s="384">
        <v>9131625899.1399994</v>
      </c>
      <c r="F874" s="384">
        <v>0</v>
      </c>
      <c r="G874" s="384">
        <v>0</v>
      </c>
      <c r="H874" s="384">
        <v>0.65</v>
      </c>
      <c r="I874" s="384">
        <v>0</v>
      </c>
      <c r="J874" s="383">
        <v>79446</v>
      </c>
      <c r="K874" s="383">
        <v>80543</v>
      </c>
    </row>
    <row r="875" spans="1:11" x14ac:dyDescent="0.3">
      <c r="A875" t="s">
        <v>2223</v>
      </c>
      <c r="B875" t="s">
        <v>2994</v>
      </c>
      <c r="C875" t="s">
        <v>2999</v>
      </c>
      <c r="D875" s="383">
        <v>111415</v>
      </c>
      <c r="E875" s="384">
        <v>13037781843.379999</v>
      </c>
      <c r="F875" s="384">
        <v>0</v>
      </c>
      <c r="G875" s="384">
        <v>0</v>
      </c>
      <c r="H875" s="384">
        <v>0.75</v>
      </c>
      <c r="I875" s="384">
        <v>0</v>
      </c>
      <c r="J875" s="383">
        <v>98416</v>
      </c>
      <c r="K875" s="383">
        <v>99934</v>
      </c>
    </row>
    <row r="876" spans="1:11" x14ac:dyDescent="0.3">
      <c r="A876" t="s">
        <v>2223</v>
      </c>
      <c r="B876" t="s">
        <v>2994</v>
      </c>
      <c r="C876" t="s">
        <v>3000</v>
      </c>
      <c r="D876" s="383">
        <v>61017</v>
      </c>
      <c r="E876" s="384">
        <v>8333890855.8599997</v>
      </c>
      <c r="F876" s="384">
        <v>0</v>
      </c>
      <c r="G876" s="384">
        <v>0</v>
      </c>
      <c r="H876" s="384">
        <v>0.82</v>
      </c>
      <c r="I876" s="384">
        <v>0</v>
      </c>
      <c r="J876" s="383">
        <v>56043</v>
      </c>
      <c r="K876" s="383">
        <v>56529</v>
      </c>
    </row>
    <row r="877" spans="1:11" x14ac:dyDescent="0.3">
      <c r="A877" t="s">
        <v>2223</v>
      </c>
      <c r="B877" t="s">
        <v>2994</v>
      </c>
      <c r="C877" t="s">
        <v>3001</v>
      </c>
      <c r="D877" s="383">
        <v>53592</v>
      </c>
      <c r="E877" s="384">
        <v>7792599491.7600002</v>
      </c>
      <c r="F877" s="384">
        <v>0</v>
      </c>
      <c r="G877" s="384">
        <v>0</v>
      </c>
      <c r="H877" s="384">
        <v>0.87</v>
      </c>
      <c r="I877" s="384">
        <v>0</v>
      </c>
      <c r="J877" s="383">
        <v>49852</v>
      </c>
      <c r="K877" s="383">
        <v>50150</v>
      </c>
    </row>
    <row r="878" spans="1:11" x14ac:dyDescent="0.3">
      <c r="A878" t="s">
        <v>2223</v>
      </c>
      <c r="B878" t="s">
        <v>2994</v>
      </c>
      <c r="C878" t="s">
        <v>3002</v>
      </c>
      <c r="D878" s="383">
        <v>31964</v>
      </c>
      <c r="E878" s="384">
        <v>4823679328.0299997</v>
      </c>
      <c r="F878" s="384">
        <v>0</v>
      </c>
      <c r="G878" s="384">
        <v>0</v>
      </c>
      <c r="H878" s="384">
        <v>0.92</v>
      </c>
      <c r="I878" s="384">
        <v>0</v>
      </c>
      <c r="J878" s="383">
        <v>30280</v>
      </c>
      <c r="K878" s="383">
        <v>30460</v>
      </c>
    </row>
    <row r="879" spans="1:11" x14ac:dyDescent="0.3">
      <c r="A879" t="s">
        <v>2223</v>
      </c>
      <c r="B879" t="s">
        <v>2994</v>
      </c>
      <c r="C879" t="s">
        <v>3003</v>
      </c>
      <c r="D879" s="383">
        <v>15494</v>
      </c>
      <c r="E879" s="384">
        <v>2433361934.5300002</v>
      </c>
      <c r="F879" s="384">
        <v>0</v>
      </c>
      <c r="G879" s="384">
        <v>0</v>
      </c>
      <c r="H879" s="384">
        <v>0.96</v>
      </c>
      <c r="I879" s="384">
        <v>0</v>
      </c>
      <c r="J879" s="383">
        <v>14874</v>
      </c>
      <c r="K879" s="383">
        <v>14959</v>
      </c>
    </row>
    <row r="880" spans="1:11" x14ac:dyDescent="0.3">
      <c r="A880" t="s">
        <v>2223</v>
      </c>
      <c r="B880" t="s">
        <v>2994</v>
      </c>
      <c r="C880" t="s">
        <v>3004</v>
      </c>
      <c r="D880" s="383">
        <v>720</v>
      </c>
      <c r="E880" s="384">
        <v>20730014.859999999</v>
      </c>
      <c r="F880" s="384">
        <v>0</v>
      </c>
      <c r="G880" s="384">
        <v>0</v>
      </c>
      <c r="H880" s="384">
        <v>0.28000000000000003</v>
      </c>
      <c r="I880" s="384">
        <v>0</v>
      </c>
      <c r="J880" s="383">
        <v>718</v>
      </c>
      <c r="K880" s="383">
        <v>718</v>
      </c>
    </row>
    <row r="881" spans="1:11" x14ac:dyDescent="0.3">
      <c r="A881" t="s">
        <v>2223</v>
      </c>
      <c r="B881" t="s">
        <v>2994</v>
      </c>
      <c r="C881" t="s">
        <v>3005</v>
      </c>
      <c r="D881" s="383">
        <v>245</v>
      </c>
      <c r="E881" s="384">
        <v>14808452.77</v>
      </c>
      <c r="F881" s="384">
        <v>0</v>
      </c>
      <c r="G881" s="384">
        <v>0</v>
      </c>
      <c r="H881" s="384">
        <v>0.45</v>
      </c>
      <c r="I881" s="384">
        <v>0</v>
      </c>
      <c r="J881" s="383">
        <v>243</v>
      </c>
      <c r="K881" s="383">
        <v>243</v>
      </c>
    </row>
    <row r="882" spans="1:11" x14ac:dyDescent="0.3">
      <c r="A882" t="s">
        <v>2223</v>
      </c>
      <c r="B882" t="s">
        <v>2994</v>
      </c>
      <c r="C882" t="s">
        <v>3006</v>
      </c>
      <c r="D882" s="383">
        <v>316</v>
      </c>
      <c r="E882" s="384">
        <v>21889132.870000001</v>
      </c>
      <c r="F882" s="384">
        <v>0</v>
      </c>
      <c r="G882" s="384">
        <v>0</v>
      </c>
      <c r="H882" s="384">
        <v>0.55000000000000004</v>
      </c>
      <c r="I882" s="384">
        <v>0</v>
      </c>
      <c r="J882" s="383">
        <v>313</v>
      </c>
      <c r="K882" s="383">
        <v>313</v>
      </c>
    </row>
    <row r="883" spans="1:11" x14ac:dyDescent="0.3">
      <c r="A883" t="s">
        <v>2223</v>
      </c>
      <c r="B883" t="s">
        <v>2994</v>
      </c>
      <c r="C883" t="s">
        <v>3007</v>
      </c>
      <c r="D883" s="383">
        <v>353</v>
      </c>
      <c r="E883" s="384">
        <v>31121865.379999999</v>
      </c>
      <c r="F883" s="384">
        <v>0</v>
      </c>
      <c r="G883" s="384">
        <v>0</v>
      </c>
      <c r="H883" s="384">
        <v>0.65</v>
      </c>
      <c r="I883" s="384">
        <v>0</v>
      </c>
      <c r="J883" s="383">
        <v>349</v>
      </c>
      <c r="K883" s="383">
        <v>349</v>
      </c>
    </row>
    <row r="884" spans="1:11" x14ac:dyDescent="0.3">
      <c r="A884" t="s">
        <v>2223</v>
      </c>
      <c r="B884" t="s">
        <v>2994</v>
      </c>
      <c r="C884" t="s">
        <v>3008</v>
      </c>
      <c r="D884" s="383">
        <v>417</v>
      </c>
      <c r="E884" s="384">
        <v>41671949.340000004</v>
      </c>
      <c r="F884" s="384">
        <v>0</v>
      </c>
      <c r="G884" s="384">
        <v>0</v>
      </c>
      <c r="H884" s="384">
        <v>0.75</v>
      </c>
      <c r="I884" s="384">
        <v>0</v>
      </c>
      <c r="J884" s="383">
        <v>413</v>
      </c>
      <c r="K884" s="383">
        <v>414</v>
      </c>
    </row>
    <row r="885" spans="1:11" x14ac:dyDescent="0.3">
      <c r="A885" t="s">
        <v>2223</v>
      </c>
      <c r="B885" t="s">
        <v>2994</v>
      </c>
      <c r="C885" t="s">
        <v>3009</v>
      </c>
      <c r="D885" s="383">
        <v>209</v>
      </c>
      <c r="E885" s="384">
        <v>23084603.329999998</v>
      </c>
      <c r="F885" s="384">
        <v>0</v>
      </c>
      <c r="G885" s="384">
        <v>0</v>
      </c>
      <c r="H885" s="384">
        <v>0.82</v>
      </c>
      <c r="I885" s="384">
        <v>0</v>
      </c>
      <c r="J885" s="383">
        <v>204</v>
      </c>
      <c r="K885" s="383">
        <v>204</v>
      </c>
    </row>
    <row r="886" spans="1:11" x14ac:dyDescent="0.3">
      <c r="A886" t="s">
        <v>2223</v>
      </c>
      <c r="B886" t="s">
        <v>2994</v>
      </c>
      <c r="C886" t="s">
        <v>3010</v>
      </c>
      <c r="D886" s="383">
        <v>184</v>
      </c>
      <c r="E886" s="384">
        <v>20428130.07</v>
      </c>
      <c r="F886" s="384">
        <v>0</v>
      </c>
      <c r="G886" s="384">
        <v>0</v>
      </c>
      <c r="H886" s="384">
        <v>0.87</v>
      </c>
      <c r="I886" s="384">
        <v>0</v>
      </c>
      <c r="J886" s="383">
        <v>183</v>
      </c>
      <c r="K886" s="383">
        <v>183</v>
      </c>
    </row>
    <row r="887" spans="1:11" x14ac:dyDescent="0.3">
      <c r="A887" t="s">
        <v>2223</v>
      </c>
      <c r="B887" t="s">
        <v>2994</v>
      </c>
      <c r="C887" t="s">
        <v>3011</v>
      </c>
      <c r="D887" s="383">
        <v>146</v>
      </c>
      <c r="E887" s="384">
        <v>14597944.449999999</v>
      </c>
      <c r="F887" s="384">
        <v>0</v>
      </c>
      <c r="G887" s="384">
        <v>0</v>
      </c>
      <c r="H887" s="384">
        <v>0.92</v>
      </c>
      <c r="I887" s="384">
        <v>0</v>
      </c>
      <c r="J887" s="383">
        <v>145</v>
      </c>
      <c r="K887" s="383">
        <v>146</v>
      </c>
    </row>
    <row r="888" spans="1:11" x14ac:dyDescent="0.3">
      <c r="A888" t="s">
        <v>2223</v>
      </c>
      <c r="B888" t="s">
        <v>2994</v>
      </c>
      <c r="C888" t="s">
        <v>3012</v>
      </c>
      <c r="D888" s="383">
        <v>75</v>
      </c>
      <c r="E888" s="384">
        <v>7203104.4699999997</v>
      </c>
      <c r="F888" s="384">
        <v>0</v>
      </c>
      <c r="G888" s="384">
        <v>0</v>
      </c>
      <c r="H888" s="384">
        <v>0.96</v>
      </c>
      <c r="I888" s="384">
        <v>0</v>
      </c>
      <c r="J888" s="383">
        <v>75</v>
      </c>
      <c r="K888" s="383">
        <v>75</v>
      </c>
    </row>
    <row r="889" spans="1:11" x14ac:dyDescent="0.3">
      <c r="A889" t="s">
        <v>2223</v>
      </c>
      <c r="B889" t="s">
        <v>2994</v>
      </c>
      <c r="C889" t="s">
        <v>3013</v>
      </c>
      <c r="D889" s="383">
        <v>37299</v>
      </c>
      <c r="E889" s="384">
        <v>1225020632.0799999</v>
      </c>
      <c r="F889" s="384">
        <v>0</v>
      </c>
      <c r="G889" s="384">
        <v>0</v>
      </c>
      <c r="H889" s="384">
        <v>0.27</v>
      </c>
      <c r="I889" s="384">
        <v>0</v>
      </c>
      <c r="J889" s="383">
        <v>31825</v>
      </c>
      <c r="K889" s="383">
        <v>32154</v>
      </c>
    </row>
    <row r="890" spans="1:11" x14ac:dyDescent="0.3">
      <c r="A890" t="s">
        <v>2223</v>
      </c>
      <c r="B890" t="s">
        <v>2994</v>
      </c>
      <c r="C890" t="s">
        <v>3014</v>
      </c>
      <c r="D890" s="383">
        <v>12990</v>
      </c>
      <c r="E890" s="384">
        <v>878742575</v>
      </c>
      <c r="F890" s="384">
        <v>0</v>
      </c>
      <c r="G890" s="384">
        <v>0</v>
      </c>
      <c r="H890" s="384">
        <v>0.45</v>
      </c>
      <c r="I890" s="384">
        <v>0</v>
      </c>
      <c r="J890" s="383">
        <v>9879</v>
      </c>
      <c r="K890" s="383">
        <v>9899</v>
      </c>
    </row>
    <row r="891" spans="1:11" x14ac:dyDescent="0.3">
      <c r="A891" t="s">
        <v>2223</v>
      </c>
      <c r="B891" t="s">
        <v>2994</v>
      </c>
      <c r="C891" t="s">
        <v>3015</v>
      </c>
      <c r="D891" s="383">
        <v>15581</v>
      </c>
      <c r="E891" s="384">
        <v>1231285714.9100001</v>
      </c>
      <c r="F891" s="384">
        <v>0</v>
      </c>
      <c r="G891" s="384">
        <v>0</v>
      </c>
      <c r="H891" s="384">
        <v>0.55000000000000004</v>
      </c>
      <c r="I891" s="384">
        <v>0</v>
      </c>
      <c r="J891" s="383">
        <v>11286</v>
      </c>
      <c r="K891" s="383">
        <v>11313</v>
      </c>
    </row>
    <row r="892" spans="1:11" x14ac:dyDescent="0.3">
      <c r="A892" t="s">
        <v>2223</v>
      </c>
      <c r="B892" t="s">
        <v>2994</v>
      </c>
      <c r="C892" t="s">
        <v>3016</v>
      </c>
      <c r="D892" s="383">
        <v>19209</v>
      </c>
      <c r="E892" s="384">
        <v>1688512966.9000001</v>
      </c>
      <c r="F892" s="384">
        <v>0</v>
      </c>
      <c r="G892" s="384">
        <v>0</v>
      </c>
      <c r="H892" s="384">
        <v>0.65</v>
      </c>
      <c r="I892" s="384">
        <v>0</v>
      </c>
      <c r="J892" s="383">
        <v>13596</v>
      </c>
      <c r="K892" s="383">
        <v>13625</v>
      </c>
    </row>
    <row r="893" spans="1:11" x14ac:dyDescent="0.3">
      <c r="A893" t="s">
        <v>2223</v>
      </c>
      <c r="B893" t="s">
        <v>2994</v>
      </c>
      <c r="C893" t="s">
        <v>3017</v>
      </c>
      <c r="D893" s="383">
        <v>23912</v>
      </c>
      <c r="E893" s="384">
        <v>2419301574.52</v>
      </c>
      <c r="F893" s="384">
        <v>0</v>
      </c>
      <c r="G893" s="384">
        <v>0</v>
      </c>
      <c r="H893" s="384">
        <v>0.75</v>
      </c>
      <c r="I893" s="384">
        <v>0</v>
      </c>
      <c r="J893" s="383">
        <v>16875</v>
      </c>
      <c r="K893" s="383">
        <v>16912</v>
      </c>
    </row>
    <row r="894" spans="1:11" x14ac:dyDescent="0.3">
      <c r="A894" t="s">
        <v>2223</v>
      </c>
      <c r="B894" t="s">
        <v>2994</v>
      </c>
      <c r="C894" t="s">
        <v>3018</v>
      </c>
      <c r="D894" s="383">
        <v>11212</v>
      </c>
      <c r="E894" s="384">
        <v>1414832655.47</v>
      </c>
      <c r="F894" s="384">
        <v>0</v>
      </c>
      <c r="G894" s="384">
        <v>0</v>
      </c>
      <c r="H894" s="384">
        <v>0.82</v>
      </c>
      <c r="I894" s="384">
        <v>0</v>
      </c>
      <c r="J894" s="383">
        <v>8801</v>
      </c>
      <c r="K894" s="383">
        <v>8808</v>
      </c>
    </row>
    <row r="895" spans="1:11" x14ac:dyDescent="0.3">
      <c r="A895" t="s">
        <v>2223</v>
      </c>
      <c r="B895" t="s">
        <v>2994</v>
      </c>
      <c r="C895" t="s">
        <v>3019</v>
      </c>
      <c r="D895" s="383">
        <v>9909</v>
      </c>
      <c r="E895" s="384">
        <v>1429626685.4100001</v>
      </c>
      <c r="F895" s="384">
        <v>0</v>
      </c>
      <c r="G895" s="384">
        <v>0</v>
      </c>
      <c r="H895" s="384">
        <v>0.87</v>
      </c>
      <c r="I895" s="384">
        <v>0</v>
      </c>
      <c r="J895" s="383">
        <v>8373</v>
      </c>
      <c r="K895" s="383">
        <v>8395</v>
      </c>
    </row>
    <row r="896" spans="1:11" x14ac:dyDescent="0.3">
      <c r="A896" t="s">
        <v>2223</v>
      </c>
      <c r="B896" t="s">
        <v>2994</v>
      </c>
      <c r="C896" t="s">
        <v>3020</v>
      </c>
      <c r="D896" s="383">
        <v>5371</v>
      </c>
      <c r="E896" s="384">
        <v>882670111.92999995</v>
      </c>
      <c r="F896" s="384">
        <v>0</v>
      </c>
      <c r="G896" s="384">
        <v>0</v>
      </c>
      <c r="H896" s="384">
        <v>0.92</v>
      </c>
      <c r="I896" s="384">
        <v>0</v>
      </c>
      <c r="J896" s="383">
        <v>4925</v>
      </c>
      <c r="K896" s="383">
        <v>4934</v>
      </c>
    </row>
    <row r="897" spans="1:11" x14ac:dyDescent="0.3">
      <c r="A897" t="s">
        <v>2223</v>
      </c>
      <c r="B897" t="s">
        <v>2994</v>
      </c>
      <c r="C897" t="s">
        <v>3021</v>
      </c>
      <c r="D897" s="383">
        <v>1522</v>
      </c>
      <c r="E897" s="384">
        <v>266886740.25999999</v>
      </c>
      <c r="F897" s="384">
        <v>0</v>
      </c>
      <c r="G897" s="384">
        <v>0</v>
      </c>
      <c r="H897" s="384">
        <v>0.96</v>
      </c>
      <c r="I897" s="384">
        <v>0</v>
      </c>
      <c r="J897" s="383">
        <v>1453</v>
      </c>
      <c r="K897" s="383">
        <v>1456</v>
      </c>
    </row>
    <row r="898" spans="1:11" x14ac:dyDescent="0.3">
      <c r="A898" t="s">
        <v>2223</v>
      </c>
      <c r="B898" t="s">
        <v>2994</v>
      </c>
      <c r="C898" t="s">
        <v>3022</v>
      </c>
      <c r="D898" s="383">
        <v>36372</v>
      </c>
      <c r="E898" s="384">
        <v>1056670422.34</v>
      </c>
      <c r="F898" s="384">
        <v>0</v>
      </c>
      <c r="G898" s="384">
        <v>0</v>
      </c>
      <c r="H898" s="384">
        <v>0.28999999999999998</v>
      </c>
      <c r="I898" s="384">
        <v>0</v>
      </c>
      <c r="J898" s="383">
        <v>35342</v>
      </c>
      <c r="K898" s="383">
        <v>36027</v>
      </c>
    </row>
    <row r="899" spans="1:11" x14ac:dyDescent="0.3">
      <c r="A899" t="s">
        <v>2223</v>
      </c>
      <c r="B899" t="s">
        <v>2994</v>
      </c>
      <c r="C899" t="s">
        <v>3023</v>
      </c>
      <c r="D899" s="383">
        <v>16519</v>
      </c>
      <c r="E899" s="384">
        <v>944493220.72000003</v>
      </c>
      <c r="F899" s="384">
        <v>0</v>
      </c>
      <c r="G899" s="384">
        <v>0</v>
      </c>
      <c r="H899" s="384">
        <v>0.45</v>
      </c>
      <c r="I899" s="384">
        <v>0</v>
      </c>
      <c r="J899" s="383">
        <v>15829</v>
      </c>
      <c r="K899" s="383">
        <v>16025</v>
      </c>
    </row>
    <row r="900" spans="1:11" x14ac:dyDescent="0.3">
      <c r="A900" t="s">
        <v>2223</v>
      </c>
      <c r="B900" t="s">
        <v>2994</v>
      </c>
      <c r="C900" t="s">
        <v>3024</v>
      </c>
      <c r="D900" s="383">
        <v>21396</v>
      </c>
      <c r="E900" s="384">
        <v>1557475868.6700001</v>
      </c>
      <c r="F900" s="384">
        <v>0</v>
      </c>
      <c r="G900" s="384">
        <v>0</v>
      </c>
      <c r="H900" s="384">
        <v>0.55000000000000004</v>
      </c>
      <c r="I900" s="384">
        <v>0</v>
      </c>
      <c r="J900" s="383">
        <v>20091</v>
      </c>
      <c r="K900" s="383">
        <v>20290</v>
      </c>
    </row>
    <row r="901" spans="1:11" x14ac:dyDescent="0.3">
      <c r="A901" t="s">
        <v>2223</v>
      </c>
      <c r="B901" t="s">
        <v>2994</v>
      </c>
      <c r="C901" t="s">
        <v>3025</v>
      </c>
      <c r="D901" s="383">
        <v>18209</v>
      </c>
      <c r="E901" s="384">
        <v>1645910075.1300001</v>
      </c>
      <c r="F901" s="384">
        <v>0</v>
      </c>
      <c r="G901" s="384">
        <v>0</v>
      </c>
      <c r="H901" s="384">
        <v>0.65</v>
      </c>
      <c r="I901" s="384">
        <v>0</v>
      </c>
      <c r="J901" s="383">
        <v>17263</v>
      </c>
      <c r="K901" s="383">
        <v>17439</v>
      </c>
    </row>
    <row r="902" spans="1:11" x14ac:dyDescent="0.3">
      <c r="A902" t="s">
        <v>2223</v>
      </c>
      <c r="B902" t="s">
        <v>2994</v>
      </c>
      <c r="C902" t="s">
        <v>3026</v>
      </c>
      <c r="D902" s="383">
        <v>11861</v>
      </c>
      <c r="E902" s="384">
        <v>1368638541.4300001</v>
      </c>
      <c r="F902" s="384">
        <v>0</v>
      </c>
      <c r="G902" s="384">
        <v>0</v>
      </c>
      <c r="H902" s="384">
        <v>0.74</v>
      </c>
      <c r="I902" s="384">
        <v>0</v>
      </c>
      <c r="J902" s="383">
        <v>11524</v>
      </c>
      <c r="K902" s="383">
        <v>11608</v>
      </c>
    </row>
    <row r="903" spans="1:11" x14ac:dyDescent="0.3">
      <c r="A903" t="s">
        <v>2223</v>
      </c>
      <c r="B903" t="s">
        <v>2994</v>
      </c>
      <c r="C903" t="s">
        <v>3027</v>
      </c>
      <c r="D903" s="383">
        <v>2217</v>
      </c>
      <c r="E903" s="384">
        <v>304760365.35000002</v>
      </c>
      <c r="F903" s="384">
        <v>0</v>
      </c>
      <c r="G903" s="384">
        <v>0</v>
      </c>
      <c r="H903" s="384">
        <v>0.82</v>
      </c>
      <c r="I903" s="384">
        <v>0</v>
      </c>
      <c r="J903" s="383">
        <v>2183</v>
      </c>
      <c r="K903" s="383">
        <v>2192</v>
      </c>
    </row>
    <row r="904" spans="1:11" x14ac:dyDescent="0.3">
      <c r="A904" t="s">
        <v>2223</v>
      </c>
      <c r="B904" t="s">
        <v>2994</v>
      </c>
      <c r="C904" t="s">
        <v>3028</v>
      </c>
      <c r="D904" s="383">
        <v>773</v>
      </c>
      <c r="E904" s="384">
        <v>109104800.43000001</v>
      </c>
      <c r="F904" s="384">
        <v>0</v>
      </c>
      <c r="G904" s="384">
        <v>0</v>
      </c>
      <c r="H904" s="384">
        <v>0.87</v>
      </c>
      <c r="I904" s="384">
        <v>0</v>
      </c>
      <c r="J904" s="383">
        <v>765</v>
      </c>
      <c r="K904" s="383">
        <v>769</v>
      </c>
    </row>
    <row r="905" spans="1:11" x14ac:dyDescent="0.3">
      <c r="A905" t="s">
        <v>2223</v>
      </c>
      <c r="B905" t="s">
        <v>2994</v>
      </c>
      <c r="C905" t="s">
        <v>3029</v>
      </c>
      <c r="D905" s="383">
        <v>425</v>
      </c>
      <c r="E905" s="384">
        <v>53217143.079999998</v>
      </c>
      <c r="F905" s="384">
        <v>0</v>
      </c>
      <c r="G905" s="384">
        <v>0</v>
      </c>
      <c r="H905" s="384">
        <v>0.92</v>
      </c>
      <c r="I905" s="384">
        <v>0</v>
      </c>
      <c r="J905" s="383">
        <v>421</v>
      </c>
      <c r="K905" s="383">
        <v>423</v>
      </c>
    </row>
    <row r="906" spans="1:11" x14ac:dyDescent="0.3">
      <c r="A906" t="s">
        <v>2223</v>
      </c>
      <c r="B906" t="s">
        <v>2994</v>
      </c>
      <c r="C906" t="s">
        <v>3030</v>
      </c>
      <c r="D906" s="383">
        <v>434</v>
      </c>
      <c r="E906" s="384">
        <v>65960050.479999997</v>
      </c>
      <c r="F906" s="384">
        <v>0</v>
      </c>
      <c r="G906" s="384">
        <v>0</v>
      </c>
      <c r="H906" s="384">
        <v>0.97</v>
      </c>
      <c r="I906" s="384">
        <v>0</v>
      </c>
      <c r="J906" s="383">
        <v>432</v>
      </c>
      <c r="K906" s="383">
        <v>434</v>
      </c>
    </row>
    <row r="907" spans="1:11" x14ac:dyDescent="0.3">
      <c r="A907" t="s">
        <v>2223</v>
      </c>
      <c r="B907" t="s">
        <v>2994</v>
      </c>
      <c r="C907" t="s">
        <v>3031</v>
      </c>
      <c r="D907" s="383">
        <v>8774</v>
      </c>
      <c r="E907" s="384">
        <v>159095367.03</v>
      </c>
      <c r="F907" s="384">
        <v>0</v>
      </c>
      <c r="G907" s="384">
        <v>0</v>
      </c>
      <c r="H907" s="384">
        <v>0.28000000000000003</v>
      </c>
      <c r="I907" s="384">
        <v>0</v>
      </c>
      <c r="J907" s="383">
        <v>8520</v>
      </c>
      <c r="K907" s="383">
        <v>8612</v>
      </c>
    </row>
    <row r="908" spans="1:11" x14ac:dyDescent="0.3">
      <c r="A908" t="s">
        <v>2223</v>
      </c>
      <c r="B908" t="s">
        <v>2994</v>
      </c>
      <c r="C908" t="s">
        <v>3032</v>
      </c>
      <c r="D908" s="383">
        <v>3485</v>
      </c>
      <c r="E908" s="384">
        <v>119913107.25</v>
      </c>
      <c r="F908" s="384">
        <v>0</v>
      </c>
      <c r="G908" s="384">
        <v>0</v>
      </c>
      <c r="H908" s="384">
        <v>0.45</v>
      </c>
      <c r="I908" s="384">
        <v>0</v>
      </c>
      <c r="J908" s="383">
        <v>3389</v>
      </c>
      <c r="K908" s="383">
        <v>3400</v>
      </c>
    </row>
    <row r="909" spans="1:11" x14ac:dyDescent="0.3">
      <c r="A909" t="s">
        <v>2223</v>
      </c>
      <c r="B909" t="s">
        <v>2994</v>
      </c>
      <c r="C909" t="s">
        <v>3033</v>
      </c>
      <c r="D909" s="383">
        <v>4240</v>
      </c>
      <c r="E909" s="384">
        <v>169254427.41</v>
      </c>
      <c r="F909" s="384">
        <v>0</v>
      </c>
      <c r="G909" s="384">
        <v>0</v>
      </c>
      <c r="H909" s="384">
        <v>0.55000000000000004</v>
      </c>
      <c r="I909" s="384">
        <v>0</v>
      </c>
      <c r="J909" s="383">
        <v>4084</v>
      </c>
      <c r="K909" s="383">
        <v>4099</v>
      </c>
    </row>
    <row r="910" spans="1:11" x14ac:dyDescent="0.3">
      <c r="A910" t="s">
        <v>2223</v>
      </c>
      <c r="B910" t="s">
        <v>2994</v>
      </c>
      <c r="C910" t="s">
        <v>3034</v>
      </c>
      <c r="D910" s="383">
        <v>5083</v>
      </c>
      <c r="E910" s="384">
        <v>245145778.31</v>
      </c>
      <c r="F910" s="384">
        <v>0</v>
      </c>
      <c r="G910" s="384">
        <v>0</v>
      </c>
      <c r="H910" s="384">
        <v>0.65</v>
      </c>
      <c r="I910" s="384">
        <v>0</v>
      </c>
      <c r="J910" s="383">
        <v>4927</v>
      </c>
      <c r="K910" s="383">
        <v>4956</v>
      </c>
    </row>
    <row r="911" spans="1:11" x14ac:dyDescent="0.3">
      <c r="A911" t="s">
        <v>2223</v>
      </c>
      <c r="B911" t="s">
        <v>2994</v>
      </c>
      <c r="C911" t="s">
        <v>3035</v>
      </c>
      <c r="D911" s="383">
        <v>5663</v>
      </c>
      <c r="E911" s="384">
        <v>331000607.89999998</v>
      </c>
      <c r="F911" s="384">
        <v>0</v>
      </c>
      <c r="G911" s="384">
        <v>0</v>
      </c>
      <c r="H911" s="384">
        <v>0.75</v>
      </c>
      <c r="I911" s="384">
        <v>0</v>
      </c>
      <c r="J911" s="383">
        <v>5553</v>
      </c>
      <c r="K911" s="383">
        <v>5596</v>
      </c>
    </row>
    <row r="912" spans="1:11" x14ac:dyDescent="0.3">
      <c r="A912" t="s">
        <v>2223</v>
      </c>
      <c r="B912" t="s">
        <v>2994</v>
      </c>
      <c r="C912" t="s">
        <v>3036</v>
      </c>
      <c r="D912" s="383">
        <v>2430</v>
      </c>
      <c r="E912" s="384">
        <v>172321394.27000001</v>
      </c>
      <c r="F912" s="384">
        <v>0</v>
      </c>
      <c r="G912" s="384">
        <v>0</v>
      </c>
      <c r="H912" s="384">
        <v>0.82</v>
      </c>
      <c r="I912" s="384">
        <v>0</v>
      </c>
      <c r="J912" s="383">
        <v>2402</v>
      </c>
      <c r="K912" s="383">
        <v>2413</v>
      </c>
    </row>
    <row r="913" spans="1:11" x14ac:dyDescent="0.3">
      <c r="A913" t="s">
        <v>2223</v>
      </c>
      <c r="B913" t="s">
        <v>2994</v>
      </c>
      <c r="C913" t="s">
        <v>3037</v>
      </c>
      <c r="D913" s="383">
        <v>1366</v>
      </c>
      <c r="E913" s="384">
        <v>112156816.62</v>
      </c>
      <c r="F913" s="384">
        <v>0</v>
      </c>
      <c r="G913" s="384">
        <v>0</v>
      </c>
      <c r="H913" s="384">
        <v>0.87</v>
      </c>
      <c r="I913" s="384">
        <v>0</v>
      </c>
      <c r="J913" s="383">
        <v>1354</v>
      </c>
      <c r="K913" s="383">
        <v>1361</v>
      </c>
    </row>
    <row r="914" spans="1:11" x14ac:dyDescent="0.3">
      <c r="A914" t="s">
        <v>2223</v>
      </c>
      <c r="B914" t="s">
        <v>2994</v>
      </c>
      <c r="C914" t="s">
        <v>3038</v>
      </c>
      <c r="D914" s="383">
        <v>993</v>
      </c>
      <c r="E914" s="384">
        <v>85103550.150000006</v>
      </c>
      <c r="F914" s="384">
        <v>0</v>
      </c>
      <c r="G914" s="384">
        <v>0</v>
      </c>
      <c r="H914" s="384">
        <v>0.92</v>
      </c>
      <c r="I914" s="384">
        <v>0</v>
      </c>
      <c r="J914" s="383">
        <v>992</v>
      </c>
      <c r="K914" s="383">
        <v>993</v>
      </c>
    </row>
    <row r="915" spans="1:11" x14ac:dyDescent="0.3">
      <c r="A915" t="s">
        <v>2223</v>
      </c>
      <c r="B915" t="s">
        <v>2994</v>
      </c>
      <c r="C915" t="s">
        <v>3039</v>
      </c>
      <c r="D915" s="383">
        <v>508</v>
      </c>
      <c r="E915" s="384">
        <v>49075627.899999999</v>
      </c>
      <c r="F915" s="384">
        <v>0</v>
      </c>
      <c r="G915" s="384">
        <v>0</v>
      </c>
      <c r="H915" s="384">
        <v>0.96</v>
      </c>
      <c r="I915" s="384">
        <v>0</v>
      </c>
      <c r="J915" s="383">
        <v>505</v>
      </c>
      <c r="K915" s="383">
        <v>506</v>
      </c>
    </row>
    <row r="916" spans="1:11" x14ac:dyDescent="0.3">
      <c r="A916" t="s">
        <v>2223</v>
      </c>
      <c r="B916" t="s">
        <v>3040</v>
      </c>
      <c r="C916" t="s">
        <v>3041</v>
      </c>
      <c r="D916" s="383">
        <v>265092</v>
      </c>
      <c r="E916" s="384">
        <v>9904090313.4799995</v>
      </c>
      <c r="F916" s="384">
        <v>0</v>
      </c>
      <c r="G916" s="384">
        <v>0</v>
      </c>
      <c r="H916" s="384">
        <v>0</v>
      </c>
      <c r="I916" s="384">
        <v>0</v>
      </c>
      <c r="J916" s="383">
        <v>239713</v>
      </c>
      <c r="K916" s="383">
        <v>246032</v>
      </c>
    </row>
    <row r="917" spans="1:11" x14ac:dyDescent="0.3">
      <c r="A917" t="s">
        <v>2223</v>
      </c>
      <c r="B917" t="s">
        <v>3040</v>
      </c>
      <c r="C917" t="s">
        <v>3042</v>
      </c>
      <c r="D917" s="383">
        <v>99634</v>
      </c>
      <c r="E917" s="384">
        <v>7096502464.3999996</v>
      </c>
      <c r="F917" s="384">
        <v>0</v>
      </c>
      <c r="G917" s="384">
        <v>0</v>
      </c>
      <c r="H917" s="384">
        <v>0</v>
      </c>
      <c r="I917" s="384">
        <v>0</v>
      </c>
      <c r="J917" s="383">
        <v>87503</v>
      </c>
      <c r="K917" s="383">
        <v>88713</v>
      </c>
    </row>
    <row r="918" spans="1:11" x14ac:dyDescent="0.3">
      <c r="A918" t="s">
        <v>2223</v>
      </c>
      <c r="B918" t="s">
        <v>3040</v>
      </c>
      <c r="C918" t="s">
        <v>3043</v>
      </c>
      <c r="D918" s="383">
        <v>119103</v>
      </c>
      <c r="E918" s="384">
        <v>9940201259.8799992</v>
      </c>
      <c r="F918" s="384">
        <v>0</v>
      </c>
      <c r="G918" s="384">
        <v>0</v>
      </c>
      <c r="H918" s="384">
        <v>0</v>
      </c>
      <c r="I918" s="384">
        <v>0</v>
      </c>
      <c r="J918" s="383">
        <v>102930</v>
      </c>
      <c r="K918" s="383">
        <v>104508</v>
      </c>
    </row>
    <row r="919" spans="1:11" x14ac:dyDescent="0.3">
      <c r="A919" t="s">
        <v>2223</v>
      </c>
      <c r="B919" t="s">
        <v>3040</v>
      </c>
      <c r="C919" t="s">
        <v>3044</v>
      </c>
      <c r="D919" s="383">
        <v>134286</v>
      </c>
      <c r="E919" s="384">
        <v>12742316584.860001</v>
      </c>
      <c r="F919" s="384">
        <v>0</v>
      </c>
      <c r="G919" s="384">
        <v>0</v>
      </c>
      <c r="H919" s="384">
        <v>0</v>
      </c>
      <c r="I919" s="384">
        <v>0</v>
      </c>
      <c r="J919" s="383">
        <v>114805</v>
      </c>
      <c r="K919" s="383">
        <v>116910</v>
      </c>
    </row>
    <row r="920" spans="1:11" x14ac:dyDescent="0.3">
      <c r="A920" t="s">
        <v>2223</v>
      </c>
      <c r="B920" t="s">
        <v>3040</v>
      </c>
      <c r="C920" t="s">
        <v>3045</v>
      </c>
      <c r="D920" s="383">
        <v>153268</v>
      </c>
      <c r="E920" s="384">
        <v>17198394516.57</v>
      </c>
      <c r="F920" s="384">
        <v>0</v>
      </c>
      <c r="G920" s="384">
        <v>0</v>
      </c>
      <c r="H920" s="384">
        <v>0</v>
      </c>
      <c r="I920" s="384">
        <v>0</v>
      </c>
      <c r="J920" s="383">
        <v>131856</v>
      </c>
      <c r="K920" s="383">
        <v>134464</v>
      </c>
    </row>
    <row r="921" spans="1:11" x14ac:dyDescent="0.3">
      <c r="A921" t="s">
        <v>2223</v>
      </c>
      <c r="B921" t="s">
        <v>3040</v>
      </c>
      <c r="C921" t="s">
        <v>3046</v>
      </c>
      <c r="D921" s="383">
        <v>77085</v>
      </c>
      <c r="E921" s="384">
        <v>10248889874.280001</v>
      </c>
      <c r="F921" s="384">
        <v>0</v>
      </c>
      <c r="G921" s="384">
        <v>0</v>
      </c>
      <c r="H921" s="384">
        <v>0</v>
      </c>
      <c r="I921" s="384">
        <v>0</v>
      </c>
      <c r="J921" s="383">
        <v>69465</v>
      </c>
      <c r="K921" s="383">
        <v>70146</v>
      </c>
    </row>
    <row r="922" spans="1:11" x14ac:dyDescent="0.3">
      <c r="A922" t="s">
        <v>2223</v>
      </c>
      <c r="B922" t="s">
        <v>3040</v>
      </c>
      <c r="C922" t="s">
        <v>3047</v>
      </c>
      <c r="D922" s="383">
        <v>65824</v>
      </c>
      <c r="E922" s="384">
        <v>9463915924.2900009</v>
      </c>
      <c r="F922" s="384">
        <v>0</v>
      </c>
      <c r="G922" s="384">
        <v>0</v>
      </c>
      <c r="H922" s="384">
        <v>0</v>
      </c>
      <c r="I922" s="384">
        <v>0</v>
      </c>
      <c r="J922" s="383">
        <v>60448</v>
      </c>
      <c r="K922" s="383">
        <v>60858</v>
      </c>
    </row>
    <row r="923" spans="1:11" x14ac:dyDescent="0.3">
      <c r="A923" t="s">
        <v>2223</v>
      </c>
      <c r="B923" t="s">
        <v>3040</v>
      </c>
      <c r="C923" t="s">
        <v>3048</v>
      </c>
      <c r="D923" s="383">
        <v>38899</v>
      </c>
      <c r="E923" s="384">
        <v>5859268077.6400003</v>
      </c>
      <c r="F923" s="384">
        <v>0</v>
      </c>
      <c r="G923" s="384">
        <v>0</v>
      </c>
      <c r="H923" s="384">
        <v>0</v>
      </c>
      <c r="I923" s="384">
        <v>0</v>
      </c>
      <c r="J923" s="383">
        <v>36728</v>
      </c>
      <c r="K923" s="383">
        <v>36956</v>
      </c>
    </row>
    <row r="924" spans="1:11" x14ac:dyDescent="0.3">
      <c r="A924" t="s">
        <v>2223</v>
      </c>
      <c r="B924" t="s">
        <v>3040</v>
      </c>
      <c r="C924" t="s">
        <v>3049</v>
      </c>
      <c r="D924" s="383">
        <v>18033</v>
      </c>
      <c r="E924" s="384">
        <v>2822487457.6399999</v>
      </c>
      <c r="F924" s="384">
        <v>0</v>
      </c>
      <c r="G924" s="384">
        <v>0</v>
      </c>
      <c r="H924" s="384">
        <v>0</v>
      </c>
      <c r="I924" s="384">
        <v>0</v>
      </c>
      <c r="J924" s="383">
        <v>17327</v>
      </c>
      <c r="K924" s="383">
        <v>17430</v>
      </c>
    </row>
    <row r="925" spans="1:11" x14ac:dyDescent="0.3">
      <c r="A925" t="s">
        <v>2223</v>
      </c>
      <c r="B925" t="s">
        <v>3050</v>
      </c>
      <c r="C925" t="s">
        <v>2426</v>
      </c>
      <c r="E925" s="384">
        <v>3206912853.3600001</v>
      </c>
    </row>
    <row r="926" spans="1:11" x14ac:dyDescent="0.3">
      <c r="A926" t="s">
        <v>2223</v>
      </c>
      <c r="B926" t="s">
        <v>3050</v>
      </c>
      <c r="C926" t="s">
        <v>2427</v>
      </c>
      <c r="E926" s="384">
        <v>5869128536.5</v>
      </c>
    </row>
    <row r="927" spans="1:11" x14ac:dyDescent="0.3">
      <c r="A927" t="s">
        <v>2223</v>
      </c>
      <c r="B927" t="s">
        <v>3050</v>
      </c>
      <c r="C927" t="s">
        <v>2428</v>
      </c>
      <c r="E927" s="384">
        <v>6790479516.8599997</v>
      </c>
    </row>
    <row r="928" spans="1:11" x14ac:dyDescent="0.3">
      <c r="A928" t="s">
        <v>2223</v>
      </c>
      <c r="B928" t="s">
        <v>3050</v>
      </c>
      <c r="C928" t="s">
        <v>2429</v>
      </c>
      <c r="E928" s="384">
        <v>5595612646.04</v>
      </c>
    </row>
    <row r="929" spans="1:11" x14ac:dyDescent="0.3">
      <c r="A929" t="s">
        <v>2223</v>
      </c>
      <c r="B929" t="s">
        <v>3050</v>
      </c>
      <c r="C929" t="s">
        <v>2430</v>
      </c>
      <c r="E929" s="384">
        <v>6410169831.6999998</v>
      </c>
    </row>
    <row r="930" spans="1:11" x14ac:dyDescent="0.3">
      <c r="A930" t="s">
        <v>2223</v>
      </c>
      <c r="B930" t="s">
        <v>3050</v>
      </c>
      <c r="C930" t="s">
        <v>2431</v>
      </c>
      <c r="E930" s="384">
        <v>25557173452.5</v>
      </c>
    </row>
    <row r="931" spans="1:11" x14ac:dyDescent="0.3">
      <c r="A931" t="s">
        <v>2223</v>
      </c>
      <c r="B931" t="s">
        <v>3050</v>
      </c>
      <c r="C931" t="s">
        <v>2432</v>
      </c>
      <c r="E931" s="384">
        <v>32360583891.369999</v>
      </c>
    </row>
    <row r="932" spans="1:11" x14ac:dyDescent="0.3">
      <c r="A932" t="s">
        <v>2419</v>
      </c>
      <c r="B932" t="s">
        <v>3051</v>
      </c>
      <c r="C932" t="s">
        <v>2974</v>
      </c>
      <c r="D932" s="383">
        <v>149</v>
      </c>
      <c r="E932" s="384">
        <v>37848500000</v>
      </c>
      <c r="F932" s="384">
        <v>0</v>
      </c>
      <c r="G932" s="384">
        <v>0</v>
      </c>
      <c r="H932" s="384">
        <v>0</v>
      </c>
      <c r="I932" s="384">
        <v>0</v>
      </c>
      <c r="J932" s="383">
        <v>0</v>
      </c>
      <c r="K932" s="383">
        <v>0</v>
      </c>
    </row>
    <row r="933" spans="1:11" x14ac:dyDescent="0.3">
      <c r="A933" t="s">
        <v>2419</v>
      </c>
      <c r="B933" t="s">
        <v>3051</v>
      </c>
      <c r="C933" t="s">
        <v>2975</v>
      </c>
      <c r="D933" s="383">
        <v>182</v>
      </c>
      <c r="E933" s="384">
        <v>51099200000</v>
      </c>
      <c r="F933" s="384">
        <v>0</v>
      </c>
      <c r="G933" s="384">
        <v>0</v>
      </c>
      <c r="H933" s="384">
        <v>0</v>
      </c>
      <c r="I933" s="384">
        <v>0</v>
      </c>
      <c r="J933" s="383">
        <v>0</v>
      </c>
      <c r="K933" s="383">
        <v>0</v>
      </c>
    </row>
    <row r="934" spans="1:11" x14ac:dyDescent="0.3">
      <c r="A934" t="s">
        <v>2419</v>
      </c>
      <c r="B934" t="s">
        <v>3051</v>
      </c>
      <c r="C934" t="s">
        <v>2976</v>
      </c>
      <c r="D934" s="383">
        <v>204</v>
      </c>
      <c r="E934" s="384">
        <v>58642200000</v>
      </c>
      <c r="F934" s="384">
        <v>0</v>
      </c>
      <c r="G934" s="384">
        <v>0</v>
      </c>
      <c r="H934" s="384">
        <v>0</v>
      </c>
      <c r="I934" s="384">
        <v>0</v>
      </c>
      <c r="J934" s="383">
        <v>0</v>
      </c>
      <c r="K934" s="383">
        <v>0</v>
      </c>
    </row>
    <row r="935" spans="1:11" x14ac:dyDescent="0.3">
      <c r="A935" t="s">
        <v>2419</v>
      </c>
      <c r="B935" t="s">
        <v>3051</v>
      </c>
      <c r="C935" t="s">
        <v>2977</v>
      </c>
      <c r="D935" s="383">
        <v>222</v>
      </c>
      <c r="E935" s="384">
        <v>64045500000</v>
      </c>
      <c r="F935" s="384">
        <v>0</v>
      </c>
      <c r="G935" s="384">
        <v>0</v>
      </c>
      <c r="H935" s="384">
        <v>0</v>
      </c>
      <c r="I935" s="384">
        <v>0</v>
      </c>
      <c r="J935" s="383">
        <v>0</v>
      </c>
      <c r="K935" s="383">
        <v>0</v>
      </c>
    </row>
    <row r="936" spans="1:11" x14ac:dyDescent="0.3">
      <c r="A936" t="s">
        <v>2419</v>
      </c>
      <c r="B936" t="s">
        <v>3052</v>
      </c>
      <c r="C936" t="s">
        <v>2979</v>
      </c>
      <c r="D936" s="383">
        <v>36</v>
      </c>
      <c r="E936" s="384">
        <v>33700000000</v>
      </c>
      <c r="F936" s="384">
        <v>0</v>
      </c>
      <c r="G936" s="384">
        <v>0</v>
      </c>
      <c r="H936" s="384">
        <v>0</v>
      </c>
      <c r="I936" s="384">
        <v>0</v>
      </c>
      <c r="J936" s="383">
        <v>0</v>
      </c>
      <c r="K936" s="383">
        <v>0</v>
      </c>
    </row>
    <row r="937" spans="1:11" x14ac:dyDescent="0.3">
      <c r="A937" t="s">
        <v>2419</v>
      </c>
      <c r="B937" t="s">
        <v>3052</v>
      </c>
      <c r="C937" t="s">
        <v>2980</v>
      </c>
      <c r="D937" s="383">
        <v>43</v>
      </c>
      <c r="E937" s="384">
        <v>41100000000</v>
      </c>
      <c r="F937" s="384">
        <v>0</v>
      </c>
      <c r="G937" s="384">
        <v>0</v>
      </c>
      <c r="H937" s="384">
        <v>0</v>
      </c>
      <c r="I937" s="384">
        <v>0</v>
      </c>
      <c r="J937" s="383">
        <v>0</v>
      </c>
      <c r="K937" s="383">
        <v>0</v>
      </c>
    </row>
    <row r="938" spans="1:11" x14ac:dyDescent="0.3">
      <c r="A938" t="s">
        <v>2419</v>
      </c>
      <c r="B938" t="s">
        <v>3052</v>
      </c>
      <c r="C938" t="s">
        <v>2981</v>
      </c>
      <c r="D938" s="383">
        <v>47</v>
      </c>
      <c r="E938" s="384">
        <v>45600000000</v>
      </c>
      <c r="F938" s="384">
        <v>0</v>
      </c>
      <c r="G938" s="384">
        <v>0</v>
      </c>
      <c r="H938" s="384">
        <v>0</v>
      </c>
      <c r="I938" s="384">
        <v>0</v>
      </c>
      <c r="J938" s="383">
        <v>0</v>
      </c>
      <c r="K938" s="383">
        <v>0</v>
      </c>
    </row>
    <row r="939" spans="1:11" x14ac:dyDescent="0.3">
      <c r="A939" t="s">
        <v>2419</v>
      </c>
      <c r="B939" t="s">
        <v>3052</v>
      </c>
      <c r="C939" t="s">
        <v>2982</v>
      </c>
      <c r="D939" s="383">
        <v>49</v>
      </c>
      <c r="E939" s="384">
        <v>48600000000</v>
      </c>
      <c r="F939" s="384">
        <v>0</v>
      </c>
      <c r="G939" s="384">
        <v>0</v>
      </c>
      <c r="H939" s="384">
        <v>0</v>
      </c>
      <c r="I939" s="384">
        <v>0</v>
      </c>
      <c r="J939" s="383">
        <v>0</v>
      </c>
      <c r="K939" s="383">
        <v>0</v>
      </c>
    </row>
    <row r="940" spans="1:11" x14ac:dyDescent="0.3">
      <c r="A940" t="s">
        <v>2419</v>
      </c>
      <c r="B940" t="s">
        <v>3052</v>
      </c>
      <c r="C940" t="s">
        <v>2983</v>
      </c>
      <c r="D940" s="383">
        <v>113</v>
      </c>
      <c r="E940" s="384">
        <v>4148500000</v>
      </c>
      <c r="F940" s="384">
        <v>0</v>
      </c>
      <c r="G940" s="384">
        <v>0</v>
      </c>
      <c r="H940" s="384">
        <v>0</v>
      </c>
      <c r="I940" s="384">
        <v>0</v>
      </c>
      <c r="J940" s="383">
        <v>0</v>
      </c>
      <c r="K940" s="383">
        <v>0</v>
      </c>
    </row>
    <row r="941" spans="1:11" x14ac:dyDescent="0.3">
      <c r="A941" t="s">
        <v>2419</v>
      </c>
      <c r="B941" t="s">
        <v>3052</v>
      </c>
      <c r="C941" t="s">
        <v>2984</v>
      </c>
      <c r="D941" s="383">
        <v>139</v>
      </c>
      <c r="E941" s="384">
        <v>9999200000</v>
      </c>
      <c r="F941" s="384">
        <v>0</v>
      </c>
      <c r="G941" s="384">
        <v>0</v>
      </c>
      <c r="H941" s="384">
        <v>0</v>
      </c>
      <c r="I941" s="384">
        <v>0</v>
      </c>
      <c r="J941" s="383">
        <v>0</v>
      </c>
      <c r="K941" s="383">
        <v>0</v>
      </c>
    </row>
    <row r="942" spans="1:11" x14ac:dyDescent="0.3">
      <c r="A942" t="s">
        <v>2419</v>
      </c>
      <c r="B942" t="s">
        <v>3052</v>
      </c>
      <c r="C942" t="s">
        <v>2985</v>
      </c>
      <c r="D942" s="383">
        <v>157</v>
      </c>
      <c r="E942" s="384">
        <v>13042200000</v>
      </c>
      <c r="F942" s="384">
        <v>0</v>
      </c>
      <c r="G942" s="384">
        <v>0</v>
      </c>
      <c r="H942" s="384">
        <v>0</v>
      </c>
      <c r="I942" s="384">
        <v>0</v>
      </c>
      <c r="J942" s="383">
        <v>0</v>
      </c>
      <c r="K942" s="383">
        <v>0</v>
      </c>
    </row>
    <row r="943" spans="1:11" x14ac:dyDescent="0.3">
      <c r="A943" t="s">
        <v>2419</v>
      </c>
      <c r="B943" t="s">
        <v>3052</v>
      </c>
      <c r="C943" t="s">
        <v>2986</v>
      </c>
      <c r="D943" s="383">
        <v>173</v>
      </c>
      <c r="E943" s="384">
        <v>15445500000</v>
      </c>
      <c r="F943" s="384">
        <v>0</v>
      </c>
      <c r="G943" s="384">
        <v>0</v>
      </c>
      <c r="H943" s="384">
        <v>0</v>
      </c>
      <c r="I943" s="384">
        <v>0</v>
      </c>
      <c r="J943" s="383">
        <v>0</v>
      </c>
      <c r="K943" s="383">
        <v>0</v>
      </c>
    </row>
    <row r="944" spans="1:11" x14ac:dyDescent="0.3">
      <c r="A944" t="s">
        <v>2419</v>
      </c>
      <c r="B944" t="s">
        <v>3053</v>
      </c>
      <c r="C944" t="s">
        <v>2988</v>
      </c>
      <c r="D944" s="383">
        <v>147</v>
      </c>
      <c r="E944" s="384">
        <v>37808500000</v>
      </c>
      <c r="F944" s="384">
        <v>0</v>
      </c>
      <c r="G944" s="384">
        <v>0</v>
      </c>
      <c r="H944" s="384">
        <v>0</v>
      </c>
      <c r="I944" s="384">
        <v>0</v>
      </c>
      <c r="J944" s="383">
        <v>0</v>
      </c>
      <c r="K944" s="383">
        <v>0</v>
      </c>
    </row>
    <row r="945" spans="1:11" x14ac:dyDescent="0.3">
      <c r="A945" t="s">
        <v>2419</v>
      </c>
      <c r="B945" t="s">
        <v>3053</v>
      </c>
      <c r="C945" t="s">
        <v>2989</v>
      </c>
      <c r="D945" s="383">
        <v>180</v>
      </c>
      <c r="E945" s="384">
        <v>51059200000</v>
      </c>
      <c r="F945" s="384">
        <v>0</v>
      </c>
      <c r="G945" s="384">
        <v>0</v>
      </c>
      <c r="H945" s="384">
        <v>0</v>
      </c>
      <c r="I945" s="384">
        <v>0</v>
      </c>
      <c r="J945" s="383">
        <v>0</v>
      </c>
      <c r="K945" s="383">
        <v>0</v>
      </c>
    </row>
    <row r="946" spans="1:11" x14ac:dyDescent="0.3">
      <c r="A946" t="s">
        <v>2419</v>
      </c>
      <c r="B946" t="s">
        <v>3053</v>
      </c>
      <c r="C946" t="s">
        <v>2990</v>
      </c>
      <c r="D946" s="383">
        <v>202</v>
      </c>
      <c r="E946" s="384">
        <v>58602200000</v>
      </c>
      <c r="F946" s="384">
        <v>0</v>
      </c>
      <c r="G946" s="384">
        <v>0</v>
      </c>
      <c r="H946" s="384">
        <v>0</v>
      </c>
      <c r="I946" s="384">
        <v>0</v>
      </c>
      <c r="J946" s="383">
        <v>0</v>
      </c>
      <c r="K946" s="383">
        <v>0</v>
      </c>
    </row>
    <row r="947" spans="1:11" x14ac:dyDescent="0.3">
      <c r="A947" t="s">
        <v>2419</v>
      </c>
      <c r="B947" t="s">
        <v>3053</v>
      </c>
      <c r="C947" t="s">
        <v>2991</v>
      </c>
      <c r="D947" s="383">
        <v>220</v>
      </c>
      <c r="E947" s="384">
        <v>64005500000</v>
      </c>
      <c r="F947" s="384">
        <v>0</v>
      </c>
      <c r="G947" s="384">
        <v>0</v>
      </c>
      <c r="H947" s="384">
        <v>0</v>
      </c>
      <c r="I947" s="384">
        <v>0</v>
      </c>
      <c r="J947" s="383">
        <v>0</v>
      </c>
      <c r="K947" s="383">
        <v>0</v>
      </c>
    </row>
    <row r="948" spans="1:11" x14ac:dyDescent="0.3">
      <c r="A948" t="s">
        <v>2419</v>
      </c>
      <c r="B948" t="s">
        <v>3053</v>
      </c>
      <c r="C948" t="s">
        <v>2992</v>
      </c>
      <c r="D948" s="383">
        <v>2</v>
      </c>
      <c r="E948" s="384">
        <v>40000000</v>
      </c>
      <c r="F948" s="384">
        <v>0</v>
      </c>
      <c r="G948" s="384">
        <v>0</v>
      </c>
      <c r="H948" s="384">
        <v>0</v>
      </c>
      <c r="I948" s="384">
        <v>0</v>
      </c>
      <c r="J948" s="383">
        <v>0</v>
      </c>
      <c r="K948" s="383">
        <v>0</v>
      </c>
    </row>
    <row r="949" spans="1:11" x14ac:dyDescent="0.3">
      <c r="A949" t="s">
        <v>2419</v>
      </c>
      <c r="B949" t="s">
        <v>3053</v>
      </c>
      <c r="C949" t="s">
        <v>3054</v>
      </c>
      <c r="D949" s="383">
        <v>2</v>
      </c>
      <c r="E949" s="384">
        <v>40000000</v>
      </c>
      <c r="F949" s="384">
        <v>0</v>
      </c>
      <c r="G949" s="384">
        <v>0</v>
      </c>
      <c r="H949" s="384">
        <v>0</v>
      </c>
      <c r="I949" s="384">
        <v>0</v>
      </c>
      <c r="J949" s="383">
        <v>0</v>
      </c>
      <c r="K949" s="383">
        <v>0</v>
      </c>
    </row>
    <row r="950" spans="1:11" x14ac:dyDescent="0.3">
      <c r="A950" t="s">
        <v>2419</v>
      </c>
      <c r="B950" t="s">
        <v>3053</v>
      </c>
      <c r="C950" t="s">
        <v>3055</v>
      </c>
      <c r="D950" s="383">
        <v>2</v>
      </c>
      <c r="E950" s="384">
        <v>40000000</v>
      </c>
      <c r="F950" s="384">
        <v>0</v>
      </c>
      <c r="G950" s="384">
        <v>0</v>
      </c>
      <c r="H950" s="384">
        <v>0</v>
      </c>
      <c r="I950" s="384">
        <v>0</v>
      </c>
      <c r="J950" s="383">
        <v>0</v>
      </c>
      <c r="K950" s="383">
        <v>0</v>
      </c>
    </row>
    <row r="951" spans="1:11" x14ac:dyDescent="0.3">
      <c r="A951" t="s">
        <v>2419</v>
      </c>
      <c r="B951" t="s">
        <v>3053</v>
      </c>
      <c r="C951" t="s">
        <v>3056</v>
      </c>
      <c r="D951" s="383">
        <v>2</v>
      </c>
      <c r="E951" s="384">
        <v>40000000</v>
      </c>
      <c r="F951" s="384">
        <v>0</v>
      </c>
      <c r="G951" s="384">
        <v>0</v>
      </c>
      <c r="H951" s="384">
        <v>0</v>
      </c>
      <c r="I951" s="384">
        <v>0</v>
      </c>
      <c r="J951" s="383">
        <v>0</v>
      </c>
      <c r="K951" s="383">
        <v>0</v>
      </c>
    </row>
    <row r="952" spans="1:11" x14ac:dyDescent="0.3">
      <c r="A952" t="s">
        <v>2223</v>
      </c>
      <c r="B952" t="s">
        <v>3057</v>
      </c>
      <c r="C952" t="s">
        <v>1193</v>
      </c>
      <c r="D952" s="383">
        <v>169711</v>
      </c>
      <c r="E952" s="384">
        <v>14211441691.57</v>
      </c>
      <c r="F952" s="384">
        <v>0</v>
      </c>
      <c r="G952" s="384">
        <v>0</v>
      </c>
      <c r="H952" s="384">
        <v>0</v>
      </c>
      <c r="I952" s="384">
        <v>0</v>
      </c>
      <c r="J952" s="383">
        <v>147941</v>
      </c>
      <c r="K952" s="383">
        <v>163518</v>
      </c>
    </row>
    <row r="953" spans="1:11" x14ac:dyDescent="0.3">
      <c r="A953" t="s">
        <v>2225</v>
      </c>
      <c r="B953" t="s">
        <v>3057</v>
      </c>
      <c r="C953" t="s">
        <v>1193</v>
      </c>
      <c r="D953" s="383">
        <v>10823</v>
      </c>
      <c r="E953" s="384">
        <v>1667229631.0599999</v>
      </c>
      <c r="F953" s="384">
        <v>0</v>
      </c>
      <c r="G953" s="384">
        <v>0</v>
      </c>
      <c r="H953" s="384">
        <v>0</v>
      </c>
      <c r="I953" s="384">
        <v>0</v>
      </c>
      <c r="J953" s="383">
        <v>10503</v>
      </c>
      <c r="K953" s="383">
        <v>10712</v>
      </c>
    </row>
    <row r="954" spans="1:11" x14ac:dyDescent="0.3">
      <c r="A954" t="s">
        <v>2225</v>
      </c>
      <c r="B954" t="s">
        <v>3057</v>
      </c>
      <c r="C954" t="s">
        <v>1187</v>
      </c>
      <c r="D954" s="383">
        <v>115708</v>
      </c>
      <c r="E954" s="384">
        <v>12975142892.34</v>
      </c>
      <c r="F954" s="384">
        <v>0</v>
      </c>
      <c r="G954" s="384">
        <v>0</v>
      </c>
      <c r="H954" s="384">
        <v>0</v>
      </c>
      <c r="I954" s="384">
        <v>0</v>
      </c>
      <c r="J954" s="383">
        <v>93364</v>
      </c>
      <c r="K954" s="383">
        <v>93619</v>
      </c>
    </row>
    <row r="955" spans="1:11" x14ac:dyDescent="0.3">
      <c r="A955" t="s">
        <v>2223</v>
      </c>
      <c r="B955" t="s">
        <v>3057</v>
      </c>
      <c r="C955" t="s">
        <v>1187</v>
      </c>
      <c r="D955" s="383">
        <v>773481</v>
      </c>
      <c r="E955" s="384">
        <v>68776034259.050003</v>
      </c>
      <c r="F955" s="384">
        <v>0</v>
      </c>
      <c r="G955" s="384">
        <v>0</v>
      </c>
      <c r="H955" s="384">
        <v>0</v>
      </c>
      <c r="I955" s="384">
        <v>0</v>
      </c>
      <c r="J955" s="383">
        <v>669797</v>
      </c>
      <c r="K955" s="383">
        <v>685078</v>
      </c>
    </row>
    <row r="956" spans="1:11" x14ac:dyDescent="0.3">
      <c r="A956" t="s">
        <v>2225</v>
      </c>
      <c r="B956" t="s">
        <v>3057</v>
      </c>
      <c r="C956" t="s">
        <v>1190</v>
      </c>
      <c r="D956" s="383">
        <v>808</v>
      </c>
      <c r="E956" s="384">
        <v>122313194.02</v>
      </c>
      <c r="F956" s="384">
        <v>0</v>
      </c>
      <c r="G956" s="384">
        <v>0</v>
      </c>
      <c r="H956" s="384">
        <v>0</v>
      </c>
      <c r="I956" s="384">
        <v>0</v>
      </c>
      <c r="J956" s="383">
        <v>801</v>
      </c>
      <c r="K956" s="383">
        <v>801</v>
      </c>
    </row>
    <row r="957" spans="1:11" x14ac:dyDescent="0.3">
      <c r="A957" t="s">
        <v>2223</v>
      </c>
      <c r="B957" t="s">
        <v>3057</v>
      </c>
      <c r="C957" t="s">
        <v>1190</v>
      </c>
      <c r="D957" s="383">
        <v>28032</v>
      </c>
      <c r="E957" s="384">
        <v>2288590522.4200001</v>
      </c>
      <c r="F957" s="384">
        <v>0</v>
      </c>
      <c r="G957" s="384">
        <v>0</v>
      </c>
      <c r="H957" s="384">
        <v>0</v>
      </c>
      <c r="I957" s="384">
        <v>0</v>
      </c>
      <c r="J957" s="383">
        <v>27074</v>
      </c>
      <c r="K957" s="383">
        <v>27421</v>
      </c>
    </row>
    <row r="958" spans="1:11" x14ac:dyDescent="0.3">
      <c r="A958" t="s">
        <v>2223</v>
      </c>
      <c r="B958" t="s">
        <v>3058</v>
      </c>
      <c r="C958" t="s">
        <v>3059</v>
      </c>
      <c r="D958" s="383">
        <v>41894</v>
      </c>
      <c r="E958" s="384">
        <v>1408963280.95</v>
      </c>
      <c r="F958" s="384">
        <v>0</v>
      </c>
      <c r="G958" s="384">
        <v>0</v>
      </c>
      <c r="H958" s="384">
        <v>0</v>
      </c>
      <c r="I958" s="384">
        <v>0</v>
      </c>
      <c r="J958" s="383">
        <v>38943</v>
      </c>
      <c r="K958" s="383">
        <v>40972</v>
      </c>
    </row>
    <row r="959" spans="1:11" x14ac:dyDescent="0.3">
      <c r="A959" t="s">
        <v>2223</v>
      </c>
      <c r="B959" t="s">
        <v>3058</v>
      </c>
      <c r="C959" t="s">
        <v>3060</v>
      </c>
      <c r="D959" s="383">
        <v>17157</v>
      </c>
      <c r="E959" s="384">
        <v>1072209724.14</v>
      </c>
      <c r="F959" s="384">
        <v>0</v>
      </c>
      <c r="G959" s="384">
        <v>0</v>
      </c>
      <c r="H959" s="384">
        <v>0</v>
      </c>
      <c r="I959" s="384">
        <v>0</v>
      </c>
      <c r="J959" s="383">
        <v>15943</v>
      </c>
      <c r="K959" s="383">
        <v>16483</v>
      </c>
    </row>
    <row r="960" spans="1:11" x14ac:dyDescent="0.3">
      <c r="A960" t="s">
        <v>2223</v>
      </c>
      <c r="B960" t="s">
        <v>3058</v>
      </c>
      <c r="C960" t="s">
        <v>3061</v>
      </c>
      <c r="D960" s="383">
        <v>20450</v>
      </c>
      <c r="E960" s="384">
        <v>1544603511.8399999</v>
      </c>
      <c r="F960" s="384">
        <v>0</v>
      </c>
      <c r="G960" s="384">
        <v>0</v>
      </c>
      <c r="H960" s="384">
        <v>0</v>
      </c>
      <c r="I960" s="384">
        <v>0</v>
      </c>
      <c r="J960" s="383">
        <v>18748</v>
      </c>
      <c r="K960" s="383">
        <v>19321</v>
      </c>
    </row>
    <row r="961" spans="1:11" x14ac:dyDescent="0.3">
      <c r="A961" t="s">
        <v>2223</v>
      </c>
      <c r="B961" t="s">
        <v>3058</v>
      </c>
      <c r="C961" t="s">
        <v>3062</v>
      </c>
      <c r="D961" s="383">
        <v>24798</v>
      </c>
      <c r="E961" s="384">
        <v>2187196532.73</v>
      </c>
      <c r="F961" s="384">
        <v>0</v>
      </c>
      <c r="G961" s="384">
        <v>0</v>
      </c>
      <c r="H961" s="384">
        <v>0</v>
      </c>
      <c r="I961" s="384">
        <v>0</v>
      </c>
      <c r="J961" s="383">
        <v>22311</v>
      </c>
      <c r="K961" s="383">
        <v>23204</v>
      </c>
    </row>
    <row r="962" spans="1:11" x14ac:dyDescent="0.3">
      <c r="A962" t="s">
        <v>2223</v>
      </c>
      <c r="B962" t="s">
        <v>3058</v>
      </c>
      <c r="C962" t="s">
        <v>3063</v>
      </c>
      <c r="D962" s="383">
        <v>28397</v>
      </c>
      <c r="E962" s="384">
        <v>2986213057.48</v>
      </c>
      <c r="F962" s="384">
        <v>0</v>
      </c>
      <c r="G962" s="384">
        <v>0</v>
      </c>
      <c r="H962" s="384">
        <v>0</v>
      </c>
      <c r="I962" s="384">
        <v>0</v>
      </c>
      <c r="J962" s="383">
        <v>26098</v>
      </c>
      <c r="K962" s="383">
        <v>27177</v>
      </c>
    </row>
    <row r="963" spans="1:11" x14ac:dyDescent="0.3">
      <c r="A963" t="s">
        <v>2223</v>
      </c>
      <c r="B963" t="s">
        <v>3058</v>
      </c>
      <c r="C963" t="s">
        <v>3064</v>
      </c>
      <c r="D963" s="383">
        <v>14052</v>
      </c>
      <c r="E963" s="384">
        <v>1722396666.5</v>
      </c>
      <c r="F963" s="384">
        <v>0</v>
      </c>
      <c r="G963" s="384">
        <v>0</v>
      </c>
      <c r="H963" s="384">
        <v>0</v>
      </c>
      <c r="I963" s="384">
        <v>0</v>
      </c>
      <c r="J963" s="383">
        <v>13391</v>
      </c>
      <c r="K963" s="383">
        <v>13710</v>
      </c>
    </row>
    <row r="964" spans="1:11" x14ac:dyDescent="0.3">
      <c r="A964" t="s">
        <v>2223</v>
      </c>
      <c r="B964" t="s">
        <v>3058</v>
      </c>
      <c r="C964" t="s">
        <v>3065</v>
      </c>
      <c r="D964" s="383">
        <v>11185</v>
      </c>
      <c r="E964" s="384">
        <v>1519759708.24</v>
      </c>
      <c r="F964" s="384">
        <v>0</v>
      </c>
      <c r="G964" s="384">
        <v>0</v>
      </c>
      <c r="H964" s="384">
        <v>0</v>
      </c>
      <c r="I964" s="384">
        <v>0</v>
      </c>
      <c r="J964" s="383">
        <v>10790</v>
      </c>
      <c r="K964" s="383">
        <v>10994</v>
      </c>
    </row>
    <row r="965" spans="1:11" x14ac:dyDescent="0.3">
      <c r="A965" t="s">
        <v>2223</v>
      </c>
      <c r="B965" t="s">
        <v>3058</v>
      </c>
      <c r="C965" t="s">
        <v>3066</v>
      </c>
      <c r="D965" s="383">
        <v>7556</v>
      </c>
      <c r="E965" s="384">
        <v>1122641383.3199999</v>
      </c>
      <c r="F965" s="384">
        <v>0</v>
      </c>
      <c r="G965" s="384">
        <v>0</v>
      </c>
      <c r="H965" s="384">
        <v>0</v>
      </c>
      <c r="I965" s="384">
        <v>0</v>
      </c>
      <c r="J965" s="383">
        <v>7349</v>
      </c>
      <c r="K965" s="383">
        <v>7478</v>
      </c>
    </row>
    <row r="966" spans="1:11" x14ac:dyDescent="0.3">
      <c r="A966" t="s">
        <v>2223</v>
      </c>
      <c r="B966" t="s">
        <v>3058</v>
      </c>
      <c r="C966" t="s">
        <v>3067</v>
      </c>
      <c r="D966" s="383">
        <v>4222</v>
      </c>
      <c r="E966" s="384">
        <v>647457826.37</v>
      </c>
      <c r="F966" s="384">
        <v>0</v>
      </c>
      <c r="G966" s="384">
        <v>0</v>
      </c>
      <c r="H966" s="384">
        <v>0</v>
      </c>
      <c r="I966" s="384">
        <v>0</v>
      </c>
      <c r="J966" s="383">
        <v>4105</v>
      </c>
      <c r="K966" s="383">
        <v>4179</v>
      </c>
    </row>
    <row r="967" spans="1:11" x14ac:dyDescent="0.3">
      <c r="A967" t="s">
        <v>2223</v>
      </c>
      <c r="B967" t="s">
        <v>3058</v>
      </c>
      <c r="C967" t="s">
        <v>3068</v>
      </c>
      <c r="D967" s="383">
        <v>212816</v>
      </c>
      <c r="E967" s="384">
        <v>8067976279.7200003</v>
      </c>
      <c r="F967" s="384">
        <v>0</v>
      </c>
      <c r="G967" s="384">
        <v>0</v>
      </c>
      <c r="H967" s="384">
        <v>0</v>
      </c>
      <c r="I967" s="384">
        <v>0</v>
      </c>
      <c r="J967" s="383">
        <v>192639</v>
      </c>
      <c r="K967" s="383">
        <v>194817</v>
      </c>
    </row>
    <row r="968" spans="1:11" x14ac:dyDescent="0.3">
      <c r="A968" t="s">
        <v>2223</v>
      </c>
      <c r="B968" t="s">
        <v>3058</v>
      </c>
      <c r="C968" t="s">
        <v>3069</v>
      </c>
      <c r="D968" s="383">
        <v>79132</v>
      </c>
      <c r="E968" s="384">
        <v>5760465686.4300003</v>
      </c>
      <c r="F968" s="384">
        <v>0</v>
      </c>
      <c r="G968" s="384">
        <v>0</v>
      </c>
      <c r="H968" s="384">
        <v>0</v>
      </c>
      <c r="I968" s="384">
        <v>0</v>
      </c>
      <c r="J968" s="383">
        <v>68636</v>
      </c>
      <c r="K968" s="383">
        <v>68973</v>
      </c>
    </row>
    <row r="969" spans="1:11" x14ac:dyDescent="0.3">
      <c r="A969" t="s">
        <v>2223</v>
      </c>
      <c r="B969" t="s">
        <v>3058</v>
      </c>
      <c r="C969" t="s">
        <v>3070</v>
      </c>
      <c r="D969" s="383">
        <v>95073</v>
      </c>
      <c r="E969" s="384">
        <v>8074191277.8699999</v>
      </c>
      <c r="F969" s="384">
        <v>0</v>
      </c>
      <c r="G969" s="384">
        <v>0</v>
      </c>
      <c r="H969" s="384">
        <v>0</v>
      </c>
      <c r="I969" s="384">
        <v>0</v>
      </c>
      <c r="J969" s="383">
        <v>81203</v>
      </c>
      <c r="K969" s="383">
        <v>81729</v>
      </c>
    </row>
    <row r="970" spans="1:11" x14ac:dyDescent="0.3">
      <c r="A970" t="s">
        <v>2223</v>
      </c>
      <c r="B970" t="s">
        <v>3058</v>
      </c>
      <c r="C970" t="s">
        <v>3071</v>
      </c>
      <c r="D970" s="383">
        <v>105926</v>
      </c>
      <c r="E970" s="384">
        <v>10199216940.09</v>
      </c>
      <c r="F970" s="384">
        <v>0</v>
      </c>
      <c r="G970" s="384">
        <v>0</v>
      </c>
      <c r="H970" s="384">
        <v>0</v>
      </c>
      <c r="I970" s="384">
        <v>0</v>
      </c>
      <c r="J970" s="383">
        <v>89613</v>
      </c>
      <c r="K970" s="383">
        <v>90279</v>
      </c>
    </row>
    <row r="971" spans="1:11" x14ac:dyDescent="0.3">
      <c r="A971" t="s">
        <v>2223</v>
      </c>
      <c r="B971" t="s">
        <v>3058</v>
      </c>
      <c r="C971" t="s">
        <v>3072</v>
      </c>
      <c r="D971" s="383">
        <v>121246</v>
      </c>
      <c r="E971" s="384">
        <v>13791373070.26</v>
      </c>
      <c r="F971" s="384">
        <v>0</v>
      </c>
      <c r="G971" s="384">
        <v>0</v>
      </c>
      <c r="H971" s="384">
        <v>0</v>
      </c>
      <c r="I971" s="384">
        <v>0</v>
      </c>
      <c r="J971" s="383">
        <v>103008</v>
      </c>
      <c r="K971" s="383">
        <v>103748</v>
      </c>
    </row>
    <row r="972" spans="1:11" x14ac:dyDescent="0.3">
      <c r="A972" t="s">
        <v>2223</v>
      </c>
      <c r="B972" t="s">
        <v>3058</v>
      </c>
      <c r="C972" t="s">
        <v>3073</v>
      </c>
      <c r="D972" s="383">
        <v>61468</v>
      </c>
      <c r="E972" s="384">
        <v>8315293478.8000002</v>
      </c>
      <c r="F972" s="384">
        <v>0</v>
      </c>
      <c r="G972" s="384">
        <v>0</v>
      </c>
      <c r="H972" s="384">
        <v>0</v>
      </c>
      <c r="I972" s="384">
        <v>0</v>
      </c>
      <c r="J972" s="383">
        <v>54725</v>
      </c>
      <c r="K972" s="383">
        <v>54897</v>
      </c>
    </row>
    <row r="973" spans="1:11" x14ac:dyDescent="0.3">
      <c r="A973" t="s">
        <v>2223</v>
      </c>
      <c r="B973" t="s">
        <v>3058</v>
      </c>
      <c r="C973" t="s">
        <v>3074</v>
      </c>
      <c r="D973" s="383">
        <v>53581</v>
      </c>
      <c r="E973" s="384">
        <v>7795499188.7399998</v>
      </c>
      <c r="F973" s="384">
        <v>0</v>
      </c>
      <c r="G973" s="384">
        <v>0</v>
      </c>
      <c r="H973" s="384">
        <v>0</v>
      </c>
      <c r="I973" s="384">
        <v>0</v>
      </c>
      <c r="J973" s="383">
        <v>48749</v>
      </c>
      <c r="K973" s="383">
        <v>48819</v>
      </c>
    </row>
    <row r="974" spans="1:11" x14ac:dyDescent="0.3">
      <c r="A974" t="s">
        <v>2223</v>
      </c>
      <c r="B974" t="s">
        <v>3058</v>
      </c>
      <c r="C974" t="s">
        <v>3075</v>
      </c>
      <c r="D974" s="383">
        <v>30761</v>
      </c>
      <c r="E974" s="384">
        <v>4650008954.0600004</v>
      </c>
      <c r="F974" s="384">
        <v>0</v>
      </c>
      <c r="G974" s="384">
        <v>0</v>
      </c>
      <c r="H974" s="384">
        <v>0</v>
      </c>
      <c r="I974" s="384">
        <v>0</v>
      </c>
      <c r="J974" s="383">
        <v>28863</v>
      </c>
      <c r="K974" s="383">
        <v>28897</v>
      </c>
    </row>
    <row r="975" spans="1:11" x14ac:dyDescent="0.3">
      <c r="A975" t="s">
        <v>2223</v>
      </c>
      <c r="B975" t="s">
        <v>3058</v>
      </c>
      <c r="C975" t="s">
        <v>3076</v>
      </c>
      <c r="D975" s="383">
        <v>13478</v>
      </c>
      <c r="E975" s="384">
        <v>2122009383.0799999</v>
      </c>
      <c r="F975" s="384">
        <v>0</v>
      </c>
      <c r="G975" s="384">
        <v>0</v>
      </c>
      <c r="H975" s="384">
        <v>0</v>
      </c>
      <c r="I975" s="384">
        <v>0</v>
      </c>
      <c r="J975" s="383">
        <v>12906</v>
      </c>
      <c r="K975" s="383">
        <v>12919</v>
      </c>
    </row>
    <row r="976" spans="1:11" x14ac:dyDescent="0.3">
      <c r="A976" t="s">
        <v>2223</v>
      </c>
      <c r="B976" t="s">
        <v>3058</v>
      </c>
      <c r="C976" t="s">
        <v>3077</v>
      </c>
      <c r="D976" s="383">
        <v>10382</v>
      </c>
      <c r="E976" s="384">
        <v>427150752.81</v>
      </c>
      <c r="F976" s="384">
        <v>0</v>
      </c>
      <c r="G976" s="384">
        <v>0</v>
      </c>
      <c r="H976" s="384">
        <v>0</v>
      </c>
      <c r="I976" s="384">
        <v>0</v>
      </c>
      <c r="J976" s="383">
        <v>10177</v>
      </c>
      <c r="K976" s="383">
        <v>10243</v>
      </c>
    </row>
    <row r="977" spans="1:11" x14ac:dyDescent="0.3">
      <c r="A977" t="s">
        <v>2223</v>
      </c>
      <c r="B977" t="s">
        <v>3058</v>
      </c>
      <c r="C977" t="s">
        <v>3078</v>
      </c>
      <c r="D977" s="383">
        <v>3345</v>
      </c>
      <c r="E977" s="384">
        <v>263827053.83000001</v>
      </c>
      <c r="F977" s="384">
        <v>0</v>
      </c>
      <c r="G977" s="384">
        <v>0</v>
      </c>
      <c r="H977" s="384">
        <v>0</v>
      </c>
      <c r="I977" s="384">
        <v>0</v>
      </c>
      <c r="J977" s="383">
        <v>3252</v>
      </c>
      <c r="K977" s="383">
        <v>3257</v>
      </c>
    </row>
    <row r="978" spans="1:11" x14ac:dyDescent="0.3">
      <c r="A978" t="s">
        <v>2223</v>
      </c>
      <c r="B978" t="s">
        <v>3058</v>
      </c>
      <c r="C978" t="s">
        <v>3079</v>
      </c>
      <c r="D978" s="383">
        <v>3580</v>
      </c>
      <c r="E978" s="384">
        <v>321406470.17000002</v>
      </c>
      <c r="F978" s="384">
        <v>0</v>
      </c>
      <c r="G978" s="384">
        <v>0</v>
      </c>
      <c r="H978" s="384">
        <v>0</v>
      </c>
      <c r="I978" s="384">
        <v>0</v>
      </c>
      <c r="J978" s="383">
        <v>3445</v>
      </c>
      <c r="K978" s="383">
        <v>3458</v>
      </c>
    </row>
    <row r="979" spans="1:11" x14ac:dyDescent="0.3">
      <c r="A979" t="s">
        <v>2223</v>
      </c>
      <c r="B979" t="s">
        <v>3058</v>
      </c>
      <c r="C979" t="s">
        <v>3080</v>
      </c>
      <c r="D979" s="383">
        <v>3562</v>
      </c>
      <c r="E979" s="384">
        <v>355903112.04000002</v>
      </c>
      <c r="F979" s="384">
        <v>0</v>
      </c>
      <c r="G979" s="384">
        <v>0</v>
      </c>
      <c r="H979" s="384">
        <v>0</v>
      </c>
      <c r="I979" s="384">
        <v>0</v>
      </c>
      <c r="J979" s="383">
        <v>3414</v>
      </c>
      <c r="K979" s="383">
        <v>3427</v>
      </c>
    </row>
    <row r="980" spans="1:11" x14ac:dyDescent="0.3">
      <c r="A980" t="s">
        <v>2223</v>
      </c>
      <c r="B980" t="s">
        <v>3058</v>
      </c>
      <c r="C980" t="s">
        <v>3081</v>
      </c>
      <c r="D980" s="383">
        <v>3625</v>
      </c>
      <c r="E980" s="384">
        <v>420808388.82999998</v>
      </c>
      <c r="F980" s="384">
        <v>0</v>
      </c>
      <c r="G980" s="384">
        <v>0</v>
      </c>
      <c r="H980" s="384">
        <v>0</v>
      </c>
      <c r="I980" s="384">
        <v>0</v>
      </c>
      <c r="J980" s="383">
        <v>3514</v>
      </c>
      <c r="K980" s="383">
        <v>3539</v>
      </c>
    </row>
    <row r="981" spans="1:11" x14ac:dyDescent="0.3">
      <c r="A981" t="s">
        <v>2223</v>
      </c>
      <c r="B981" t="s">
        <v>3058</v>
      </c>
      <c r="C981" t="s">
        <v>3082</v>
      </c>
      <c r="D981" s="383">
        <v>1565</v>
      </c>
      <c r="E981" s="384">
        <v>211199728.97999999</v>
      </c>
      <c r="F981" s="384">
        <v>0</v>
      </c>
      <c r="G981" s="384">
        <v>0</v>
      </c>
      <c r="H981" s="384">
        <v>0</v>
      </c>
      <c r="I981" s="384">
        <v>0</v>
      </c>
      <c r="J981" s="383">
        <v>1536</v>
      </c>
      <c r="K981" s="383">
        <v>1539</v>
      </c>
    </row>
    <row r="982" spans="1:11" x14ac:dyDescent="0.3">
      <c r="A982" t="s">
        <v>2223</v>
      </c>
      <c r="B982" t="s">
        <v>3058</v>
      </c>
      <c r="C982" t="s">
        <v>3083</v>
      </c>
      <c r="D982" s="383">
        <v>1058</v>
      </c>
      <c r="E982" s="384">
        <v>148657027.31</v>
      </c>
      <c r="F982" s="384">
        <v>0</v>
      </c>
      <c r="G982" s="384">
        <v>0</v>
      </c>
      <c r="H982" s="384">
        <v>0</v>
      </c>
      <c r="I982" s="384">
        <v>0</v>
      </c>
      <c r="J982" s="383">
        <v>1043</v>
      </c>
      <c r="K982" s="383">
        <v>1045</v>
      </c>
    </row>
    <row r="983" spans="1:11" x14ac:dyDescent="0.3">
      <c r="A983" t="s">
        <v>2223</v>
      </c>
      <c r="B983" t="s">
        <v>3058</v>
      </c>
      <c r="C983" t="s">
        <v>3084</v>
      </c>
      <c r="D983" s="383">
        <v>582</v>
      </c>
      <c r="E983" s="384">
        <v>86617740.260000005</v>
      </c>
      <c r="F983" s="384">
        <v>0</v>
      </c>
      <c r="G983" s="384">
        <v>0</v>
      </c>
      <c r="H983" s="384">
        <v>0</v>
      </c>
      <c r="I983" s="384">
        <v>0</v>
      </c>
      <c r="J983" s="383">
        <v>580</v>
      </c>
      <c r="K983" s="383">
        <v>581</v>
      </c>
    </row>
    <row r="984" spans="1:11" x14ac:dyDescent="0.3">
      <c r="A984" t="s">
        <v>2223</v>
      </c>
      <c r="B984" t="s">
        <v>3058</v>
      </c>
      <c r="C984" t="s">
        <v>3085</v>
      </c>
      <c r="D984" s="383">
        <v>333</v>
      </c>
      <c r="E984" s="384">
        <v>53020248.189999998</v>
      </c>
      <c r="F984" s="384">
        <v>0</v>
      </c>
      <c r="G984" s="384">
        <v>0</v>
      </c>
      <c r="H984" s="384">
        <v>0</v>
      </c>
      <c r="I984" s="384">
        <v>0</v>
      </c>
      <c r="J984" s="383">
        <v>330</v>
      </c>
      <c r="K984" s="383">
        <v>332</v>
      </c>
    </row>
    <row r="985" spans="1:11" x14ac:dyDescent="0.3">
      <c r="A985" t="s">
        <v>2223</v>
      </c>
      <c r="B985" t="s">
        <v>3086</v>
      </c>
      <c r="C985" t="s">
        <v>3087</v>
      </c>
      <c r="D985" s="383">
        <v>547453</v>
      </c>
      <c r="E985" s="384">
        <v>46493199550.489998</v>
      </c>
      <c r="F985" s="384">
        <v>0</v>
      </c>
      <c r="G985" s="384">
        <v>0</v>
      </c>
      <c r="H985" s="384">
        <v>0</v>
      </c>
      <c r="I985" s="384">
        <v>0</v>
      </c>
      <c r="J985" s="383">
        <v>458020</v>
      </c>
      <c r="K985" s="383">
        <v>482628</v>
      </c>
    </row>
    <row r="986" spans="1:11" x14ac:dyDescent="0.3">
      <c r="A986" t="s">
        <v>2223</v>
      </c>
      <c r="B986" t="s">
        <v>3086</v>
      </c>
      <c r="C986" t="s">
        <v>3088</v>
      </c>
      <c r="D986" s="383">
        <v>1639</v>
      </c>
      <c r="E986" s="384">
        <v>86136810.349999994</v>
      </c>
      <c r="F986" s="384">
        <v>0</v>
      </c>
      <c r="G986" s="384">
        <v>0</v>
      </c>
      <c r="H986" s="384">
        <v>0</v>
      </c>
      <c r="I986" s="384">
        <v>0</v>
      </c>
      <c r="J986" s="383">
        <v>1542</v>
      </c>
      <c r="K986" s="383">
        <v>1591</v>
      </c>
    </row>
    <row r="987" spans="1:11" x14ac:dyDescent="0.3">
      <c r="A987" t="s">
        <v>2223</v>
      </c>
      <c r="B987" t="s">
        <v>3086</v>
      </c>
      <c r="C987" t="s">
        <v>3089</v>
      </c>
      <c r="D987" s="383">
        <v>22948</v>
      </c>
      <c r="E987" s="384">
        <v>912175941.88999999</v>
      </c>
      <c r="F987" s="384">
        <v>0</v>
      </c>
      <c r="G987" s="384">
        <v>0</v>
      </c>
      <c r="H987" s="384">
        <v>0</v>
      </c>
      <c r="I987" s="384">
        <v>0</v>
      </c>
      <c r="J987" s="383">
        <v>18918</v>
      </c>
      <c r="K987" s="383">
        <v>19076</v>
      </c>
    </row>
    <row r="988" spans="1:11" x14ac:dyDescent="0.3">
      <c r="A988" t="s">
        <v>2223</v>
      </c>
      <c r="B988" t="s">
        <v>3086</v>
      </c>
      <c r="C988" t="s">
        <v>3090</v>
      </c>
      <c r="D988" s="383">
        <v>144280</v>
      </c>
      <c r="E988" s="384">
        <v>12097422688.040001</v>
      </c>
      <c r="F988" s="384">
        <v>0</v>
      </c>
      <c r="G988" s="384">
        <v>0</v>
      </c>
      <c r="H988" s="384">
        <v>0</v>
      </c>
      <c r="I988" s="384">
        <v>0</v>
      </c>
      <c r="J988" s="383">
        <v>127133</v>
      </c>
      <c r="K988" s="383">
        <v>131928</v>
      </c>
    </row>
    <row r="989" spans="1:11" x14ac:dyDescent="0.3">
      <c r="A989" t="s">
        <v>2223</v>
      </c>
      <c r="B989" t="s">
        <v>3086</v>
      </c>
      <c r="C989" t="s">
        <v>3091</v>
      </c>
      <c r="D989" s="383">
        <v>162173</v>
      </c>
      <c r="E989" s="384">
        <v>16340447333.940001</v>
      </c>
      <c r="F989" s="384">
        <v>0</v>
      </c>
      <c r="G989" s="384">
        <v>0</v>
      </c>
      <c r="H989" s="384">
        <v>0</v>
      </c>
      <c r="I989" s="384">
        <v>0</v>
      </c>
      <c r="J989" s="383">
        <v>149504</v>
      </c>
      <c r="K989" s="383">
        <v>156664</v>
      </c>
    </row>
    <row r="990" spans="1:11" x14ac:dyDescent="0.3">
      <c r="A990" t="s">
        <v>2223</v>
      </c>
      <c r="B990" t="s">
        <v>3086</v>
      </c>
      <c r="C990" t="s">
        <v>3092</v>
      </c>
      <c r="D990" s="383">
        <v>49002</v>
      </c>
      <c r="E990" s="384">
        <v>4973982797.2700005</v>
      </c>
      <c r="F990" s="384">
        <v>0</v>
      </c>
      <c r="G990" s="384">
        <v>0</v>
      </c>
      <c r="H990" s="384">
        <v>0</v>
      </c>
      <c r="I990" s="384">
        <v>0</v>
      </c>
      <c r="J990" s="383">
        <v>40686</v>
      </c>
      <c r="K990" s="383">
        <v>43994</v>
      </c>
    </row>
    <row r="991" spans="1:11" x14ac:dyDescent="0.3">
      <c r="A991" t="s">
        <v>2223</v>
      </c>
      <c r="B991" t="s">
        <v>3086</v>
      </c>
      <c r="C991" t="s">
        <v>3093</v>
      </c>
      <c r="D991" s="383">
        <v>150</v>
      </c>
      <c r="E991" s="384">
        <v>9777416.3499999996</v>
      </c>
      <c r="F991" s="384">
        <v>0</v>
      </c>
      <c r="G991" s="384">
        <v>0</v>
      </c>
      <c r="H991" s="384">
        <v>0</v>
      </c>
      <c r="I991" s="384">
        <v>0</v>
      </c>
      <c r="J991" s="383">
        <v>141</v>
      </c>
      <c r="K991" s="383">
        <v>146</v>
      </c>
    </row>
    <row r="992" spans="1:11" x14ac:dyDescent="0.3">
      <c r="A992" t="s">
        <v>2223</v>
      </c>
      <c r="B992" t="s">
        <v>3086</v>
      </c>
      <c r="C992" t="s">
        <v>3094</v>
      </c>
      <c r="D992" s="383">
        <v>1496</v>
      </c>
      <c r="E992" s="384">
        <v>66589125.170000002</v>
      </c>
      <c r="F992" s="384">
        <v>0</v>
      </c>
      <c r="G992" s="384">
        <v>0</v>
      </c>
      <c r="H992" s="384">
        <v>0</v>
      </c>
      <c r="I992" s="384">
        <v>0</v>
      </c>
      <c r="J992" s="383">
        <v>1250</v>
      </c>
      <c r="K992" s="383">
        <v>1257</v>
      </c>
    </row>
    <row r="993" spans="1:11" x14ac:dyDescent="0.3">
      <c r="A993" t="s">
        <v>2223</v>
      </c>
      <c r="B993" t="s">
        <v>3086</v>
      </c>
      <c r="C993" t="s">
        <v>3095</v>
      </c>
      <c r="D993" s="383">
        <v>34402</v>
      </c>
      <c r="E993" s="384">
        <v>3349989798.21</v>
      </c>
      <c r="F993" s="384">
        <v>0</v>
      </c>
      <c r="G993" s="384">
        <v>0</v>
      </c>
      <c r="H993" s="384">
        <v>0</v>
      </c>
      <c r="I993" s="384">
        <v>0</v>
      </c>
      <c r="J993" s="383">
        <v>30142</v>
      </c>
      <c r="K993" s="383">
        <v>32580</v>
      </c>
    </row>
    <row r="994" spans="1:11" x14ac:dyDescent="0.3">
      <c r="A994" t="s">
        <v>2223</v>
      </c>
      <c r="B994" t="s">
        <v>3086</v>
      </c>
      <c r="C994" t="s">
        <v>3096</v>
      </c>
      <c r="D994" s="383">
        <v>7681</v>
      </c>
      <c r="E994" s="384">
        <v>946345011.33000004</v>
      </c>
      <c r="F994" s="384">
        <v>0</v>
      </c>
      <c r="G994" s="384">
        <v>0</v>
      </c>
      <c r="H994" s="384">
        <v>0</v>
      </c>
      <c r="I994" s="384">
        <v>0</v>
      </c>
      <c r="J994" s="383">
        <v>6856</v>
      </c>
      <c r="K994" s="383">
        <v>7417</v>
      </c>
    </row>
    <row r="995" spans="1:11" x14ac:dyDescent="0.3">
      <c r="A995" t="s">
        <v>2223</v>
      </c>
      <c r="B995" t="s">
        <v>3097</v>
      </c>
      <c r="C995" t="s">
        <v>2910</v>
      </c>
      <c r="D995" s="383">
        <v>264999</v>
      </c>
      <c r="E995" s="384">
        <v>9900710397.8500004</v>
      </c>
      <c r="F995" s="384">
        <v>0</v>
      </c>
      <c r="G995" s="384">
        <v>0</v>
      </c>
      <c r="H995" s="384">
        <v>0</v>
      </c>
      <c r="I995" s="384">
        <v>0</v>
      </c>
      <c r="J995" s="383">
        <v>239628</v>
      </c>
      <c r="K995" s="383">
        <v>245939</v>
      </c>
    </row>
    <row r="996" spans="1:11" x14ac:dyDescent="0.3">
      <c r="A996" t="s">
        <v>2223</v>
      </c>
      <c r="B996" t="s">
        <v>3097</v>
      </c>
      <c r="C996" t="s">
        <v>2911</v>
      </c>
      <c r="D996" s="383">
        <v>99617</v>
      </c>
      <c r="E996" s="384">
        <v>7095082389.0900002</v>
      </c>
      <c r="F996" s="384">
        <v>0</v>
      </c>
      <c r="G996" s="384">
        <v>0</v>
      </c>
      <c r="H996" s="384">
        <v>0</v>
      </c>
      <c r="I996" s="384">
        <v>0</v>
      </c>
      <c r="J996" s="383">
        <v>87488</v>
      </c>
      <c r="K996" s="383">
        <v>88696</v>
      </c>
    </row>
    <row r="997" spans="1:11" x14ac:dyDescent="0.3">
      <c r="A997" t="s">
        <v>2223</v>
      </c>
      <c r="B997" t="s">
        <v>3097</v>
      </c>
      <c r="C997" t="s">
        <v>2912</v>
      </c>
      <c r="D997" s="383">
        <v>119078</v>
      </c>
      <c r="E997" s="384">
        <v>9938015224.2999992</v>
      </c>
      <c r="F997" s="384">
        <v>0</v>
      </c>
      <c r="G997" s="384">
        <v>0</v>
      </c>
      <c r="H997" s="384">
        <v>0</v>
      </c>
      <c r="I997" s="384">
        <v>0</v>
      </c>
      <c r="J997" s="383">
        <v>102907</v>
      </c>
      <c r="K997" s="383">
        <v>104484</v>
      </c>
    </row>
    <row r="998" spans="1:11" x14ac:dyDescent="0.3">
      <c r="A998" t="s">
        <v>2223</v>
      </c>
      <c r="B998" t="s">
        <v>3097</v>
      </c>
      <c r="C998" t="s">
        <v>2913</v>
      </c>
      <c r="D998" s="383">
        <v>134268</v>
      </c>
      <c r="E998" s="384">
        <v>12740547935.129999</v>
      </c>
      <c r="F998" s="384">
        <v>0</v>
      </c>
      <c r="G998" s="384">
        <v>0</v>
      </c>
      <c r="H998" s="384">
        <v>0</v>
      </c>
      <c r="I998" s="384">
        <v>0</v>
      </c>
      <c r="J998" s="383">
        <v>114788</v>
      </c>
      <c r="K998" s="383">
        <v>116893</v>
      </c>
    </row>
    <row r="999" spans="1:11" x14ac:dyDescent="0.3">
      <c r="A999" t="s">
        <v>2223</v>
      </c>
      <c r="B999" t="s">
        <v>3097</v>
      </c>
      <c r="C999" t="s">
        <v>2914</v>
      </c>
      <c r="D999" s="383">
        <v>153260</v>
      </c>
      <c r="E999" s="384">
        <v>17197624052.459999</v>
      </c>
      <c r="F999" s="384">
        <v>0</v>
      </c>
      <c r="G999" s="384">
        <v>0</v>
      </c>
      <c r="H999" s="384">
        <v>0</v>
      </c>
      <c r="I999" s="384">
        <v>0</v>
      </c>
      <c r="J999" s="383">
        <v>131848</v>
      </c>
      <c r="K999" s="383">
        <v>134456</v>
      </c>
    </row>
    <row r="1000" spans="1:11" x14ac:dyDescent="0.3">
      <c r="A1000" t="s">
        <v>2223</v>
      </c>
      <c r="B1000" t="s">
        <v>3097</v>
      </c>
      <c r="C1000" t="s">
        <v>2915</v>
      </c>
      <c r="D1000" s="383">
        <v>77078</v>
      </c>
      <c r="E1000" s="384">
        <v>10248063312.74</v>
      </c>
      <c r="F1000" s="384">
        <v>0</v>
      </c>
      <c r="G1000" s="384">
        <v>0</v>
      </c>
      <c r="H1000" s="384">
        <v>0</v>
      </c>
      <c r="I1000" s="384">
        <v>0</v>
      </c>
      <c r="J1000" s="383">
        <v>69458</v>
      </c>
      <c r="K1000" s="383">
        <v>70139</v>
      </c>
    </row>
    <row r="1001" spans="1:11" x14ac:dyDescent="0.3">
      <c r="A1001" t="s">
        <v>2223</v>
      </c>
      <c r="B1001" t="s">
        <v>3097</v>
      </c>
      <c r="C1001" t="s">
        <v>2916</v>
      </c>
      <c r="D1001" s="383">
        <v>65821</v>
      </c>
      <c r="E1001" s="384">
        <v>9463298552.4400005</v>
      </c>
      <c r="F1001" s="384">
        <v>0</v>
      </c>
      <c r="G1001" s="384">
        <v>0</v>
      </c>
      <c r="H1001" s="384">
        <v>0</v>
      </c>
      <c r="I1001" s="384">
        <v>0</v>
      </c>
      <c r="J1001" s="383">
        <v>60445</v>
      </c>
      <c r="K1001" s="383">
        <v>60855</v>
      </c>
    </row>
    <row r="1002" spans="1:11" x14ac:dyDescent="0.3">
      <c r="A1002" t="s">
        <v>2223</v>
      </c>
      <c r="B1002" t="s">
        <v>3097</v>
      </c>
      <c r="C1002" t="s">
        <v>2917</v>
      </c>
      <c r="D1002" s="383">
        <v>38897</v>
      </c>
      <c r="E1002" s="384">
        <v>5859083779.21</v>
      </c>
      <c r="F1002" s="384">
        <v>0</v>
      </c>
      <c r="G1002" s="384">
        <v>0</v>
      </c>
      <c r="H1002" s="384">
        <v>0</v>
      </c>
      <c r="I1002" s="384">
        <v>0</v>
      </c>
      <c r="J1002" s="383">
        <v>36726</v>
      </c>
      <c r="K1002" s="383">
        <v>36954</v>
      </c>
    </row>
    <row r="1003" spans="1:11" x14ac:dyDescent="0.3">
      <c r="A1003" t="s">
        <v>2223</v>
      </c>
      <c r="B1003" t="s">
        <v>3097</v>
      </c>
      <c r="C1003" t="s">
        <v>2918</v>
      </c>
      <c r="D1003" s="383">
        <v>18032</v>
      </c>
      <c r="E1003" s="384">
        <v>2822350516.5599999</v>
      </c>
      <c r="F1003" s="384">
        <v>0</v>
      </c>
      <c r="G1003" s="384">
        <v>0</v>
      </c>
      <c r="H1003" s="384">
        <v>0</v>
      </c>
      <c r="I1003" s="384">
        <v>0</v>
      </c>
      <c r="J1003" s="383">
        <v>17326</v>
      </c>
      <c r="K1003" s="383">
        <v>17429</v>
      </c>
    </row>
    <row r="1004" spans="1:11" x14ac:dyDescent="0.3">
      <c r="A1004" t="s">
        <v>2223</v>
      </c>
      <c r="B1004" t="s">
        <v>3097</v>
      </c>
      <c r="C1004" t="s">
        <v>3098</v>
      </c>
      <c r="D1004" s="383">
        <v>93</v>
      </c>
      <c r="E1004" s="384">
        <v>3379915.63</v>
      </c>
      <c r="F1004" s="384">
        <v>0</v>
      </c>
      <c r="G1004" s="384">
        <v>0</v>
      </c>
      <c r="H1004" s="384">
        <v>0</v>
      </c>
      <c r="I1004" s="384">
        <v>0</v>
      </c>
      <c r="J1004" s="383">
        <v>89</v>
      </c>
      <c r="K1004" s="383">
        <v>93</v>
      </c>
    </row>
    <row r="1005" spans="1:11" x14ac:dyDescent="0.3">
      <c r="A1005" t="s">
        <v>2223</v>
      </c>
      <c r="B1005" t="s">
        <v>3097</v>
      </c>
      <c r="C1005" t="s">
        <v>3099</v>
      </c>
      <c r="D1005" s="383">
        <v>17</v>
      </c>
      <c r="E1005" s="384">
        <v>1420075.31</v>
      </c>
      <c r="F1005" s="384">
        <v>0</v>
      </c>
      <c r="G1005" s="384">
        <v>0</v>
      </c>
      <c r="H1005" s="384">
        <v>0</v>
      </c>
      <c r="I1005" s="384">
        <v>0</v>
      </c>
      <c r="J1005" s="383">
        <v>15</v>
      </c>
      <c r="K1005" s="383">
        <v>17</v>
      </c>
    </row>
    <row r="1006" spans="1:11" x14ac:dyDescent="0.3">
      <c r="A1006" t="s">
        <v>2223</v>
      </c>
      <c r="B1006" t="s">
        <v>3097</v>
      </c>
      <c r="C1006" t="s">
        <v>3100</v>
      </c>
      <c r="D1006" s="383">
        <v>25</v>
      </c>
      <c r="E1006" s="384">
        <v>2186035.58</v>
      </c>
      <c r="F1006" s="384">
        <v>0</v>
      </c>
      <c r="G1006" s="384">
        <v>0</v>
      </c>
      <c r="H1006" s="384">
        <v>0</v>
      </c>
      <c r="I1006" s="384">
        <v>0</v>
      </c>
      <c r="J1006" s="383">
        <v>24</v>
      </c>
      <c r="K1006" s="383">
        <v>24</v>
      </c>
    </row>
    <row r="1007" spans="1:11" x14ac:dyDescent="0.3">
      <c r="A1007" t="s">
        <v>2223</v>
      </c>
      <c r="B1007" t="s">
        <v>3097</v>
      </c>
      <c r="C1007" t="s">
        <v>3101</v>
      </c>
      <c r="D1007" s="383">
        <v>18</v>
      </c>
      <c r="E1007" s="384">
        <v>1768649.73</v>
      </c>
      <c r="F1007" s="384">
        <v>0</v>
      </c>
      <c r="G1007" s="384">
        <v>0</v>
      </c>
      <c r="H1007" s="384">
        <v>0</v>
      </c>
      <c r="I1007" s="384">
        <v>0</v>
      </c>
      <c r="J1007" s="383">
        <v>17</v>
      </c>
      <c r="K1007" s="383">
        <v>17</v>
      </c>
    </row>
    <row r="1008" spans="1:11" x14ac:dyDescent="0.3">
      <c r="A1008" t="s">
        <v>2223</v>
      </c>
      <c r="B1008" t="s">
        <v>3097</v>
      </c>
      <c r="C1008" t="s">
        <v>3102</v>
      </c>
      <c r="D1008" s="383">
        <v>8</v>
      </c>
      <c r="E1008" s="384">
        <v>770464.11</v>
      </c>
      <c r="F1008" s="384">
        <v>0</v>
      </c>
      <c r="G1008" s="384">
        <v>0</v>
      </c>
      <c r="H1008" s="384">
        <v>0</v>
      </c>
      <c r="I1008" s="384">
        <v>0</v>
      </c>
      <c r="J1008" s="383">
        <v>8</v>
      </c>
      <c r="K1008" s="383">
        <v>8</v>
      </c>
    </row>
    <row r="1009" spans="1:11" x14ac:dyDescent="0.3">
      <c r="A1009" t="s">
        <v>2223</v>
      </c>
      <c r="B1009" t="s">
        <v>3097</v>
      </c>
      <c r="C1009" t="s">
        <v>3103</v>
      </c>
      <c r="D1009" s="383">
        <v>7</v>
      </c>
      <c r="E1009" s="384">
        <v>826561.54</v>
      </c>
      <c r="F1009" s="384">
        <v>0</v>
      </c>
      <c r="G1009" s="384">
        <v>0</v>
      </c>
      <c r="H1009" s="384">
        <v>0</v>
      </c>
      <c r="I1009" s="384">
        <v>0</v>
      </c>
      <c r="J1009" s="383">
        <v>7</v>
      </c>
      <c r="K1009" s="383">
        <v>7</v>
      </c>
    </row>
    <row r="1010" spans="1:11" x14ac:dyDescent="0.3">
      <c r="A1010" t="s">
        <v>2223</v>
      </c>
      <c r="B1010" t="s">
        <v>3097</v>
      </c>
      <c r="C1010" t="s">
        <v>3104</v>
      </c>
      <c r="D1010" s="383">
        <v>3</v>
      </c>
      <c r="E1010" s="384">
        <v>617371.85</v>
      </c>
      <c r="F1010" s="384">
        <v>0</v>
      </c>
      <c r="G1010" s="384">
        <v>0</v>
      </c>
      <c r="H1010" s="384">
        <v>0</v>
      </c>
      <c r="I1010" s="384">
        <v>0</v>
      </c>
      <c r="J1010" s="383">
        <v>3</v>
      </c>
      <c r="K1010" s="383">
        <v>3</v>
      </c>
    </row>
    <row r="1011" spans="1:11" x14ac:dyDescent="0.3">
      <c r="A1011" t="s">
        <v>2223</v>
      </c>
      <c r="B1011" t="s">
        <v>3097</v>
      </c>
      <c r="C1011" t="s">
        <v>3105</v>
      </c>
      <c r="D1011" s="383">
        <v>2</v>
      </c>
      <c r="E1011" s="384">
        <v>184298.43</v>
      </c>
      <c r="F1011" s="384">
        <v>0</v>
      </c>
      <c r="G1011" s="384">
        <v>0</v>
      </c>
      <c r="H1011" s="384">
        <v>0</v>
      </c>
      <c r="I1011" s="384">
        <v>0</v>
      </c>
      <c r="J1011" s="383">
        <v>2</v>
      </c>
      <c r="K1011" s="383">
        <v>2</v>
      </c>
    </row>
    <row r="1012" spans="1:11" x14ac:dyDescent="0.3">
      <c r="A1012" t="s">
        <v>2223</v>
      </c>
      <c r="B1012" t="s">
        <v>3097</v>
      </c>
      <c r="C1012" t="s">
        <v>3106</v>
      </c>
      <c r="D1012" s="383">
        <v>1</v>
      </c>
      <c r="E1012" s="384">
        <v>136941.07999999999</v>
      </c>
      <c r="F1012" s="384">
        <v>0</v>
      </c>
      <c r="G1012" s="384">
        <v>0</v>
      </c>
      <c r="H1012" s="384">
        <v>0</v>
      </c>
      <c r="I1012" s="384">
        <v>0</v>
      </c>
      <c r="J1012" s="383">
        <v>1</v>
      </c>
      <c r="K1012" s="383">
        <v>1</v>
      </c>
    </row>
    <row r="1013" spans="1:11" x14ac:dyDescent="0.3">
      <c r="A1013" t="s">
        <v>2223</v>
      </c>
      <c r="B1013" t="s">
        <v>3107</v>
      </c>
      <c r="C1013" t="s">
        <v>3108</v>
      </c>
      <c r="D1013" s="383">
        <v>48098</v>
      </c>
      <c r="E1013" s="384">
        <v>1835028455.53</v>
      </c>
      <c r="F1013" s="384">
        <v>0</v>
      </c>
      <c r="G1013" s="384">
        <v>0</v>
      </c>
      <c r="H1013" s="384">
        <v>0</v>
      </c>
      <c r="I1013" s="384">
        <v>0</v>
      </c>
      <c r="J1013" s="383">
        <v>44244</v>
      </c>
      <c r="K1013" s="383">
        <v>45172</v>
      </c>
    </row>
    <row r="1014" spans="1:11" x14ac:dyDescent="0.3">
      <c r="A1014" t="s">
        <v>2223</v>
      </c>
      <c r="B1014" t="s">
        <v>3107</v>
      </c>
      <c r="C1014" t="s">
        <v>3109</v>
      </c>
      <c r="D1014" s="383">
        <v>18101</v>
      </c>
      <c r="E1014" s="384">
        <v>1279658889.76</v>
      </c>
      <c r="F1014" s="384">
        <v>0</v>
      </c>
      <c r="G1014" s="384">
        <v>0</v>
      </c>
      <c r="H1014" s="384">
        <v>0</v>
      </c>
      <c r="I1014" s="384">
        <v>0</v>
      </c>
      <c r="J1014" s="383">
        <v>16378</v>
      </c>
      <c r="K1014" s="383">
        <v>16645</v>
      </c>
    </row>
    <row r="1015" spans="1:11" x14ac:dyDescent="0.3">
      <c r="A1015" t="s">
        <v>2223</v>
      </c>
      <c r="B1015" t="s">
        <v>3107</v>
      </c>
      <c r="C1015" t="s">
        <v>3110</v>
      </c>
      <c r="D1015" s="383">
        <v>21374</v>
      </c>
      <c r="E1015" s="384">
        <v>1771335236.4200001</v>
      </c>
      <c r="F1015" s="384">
        <v>0</v>
      </c>
      <c r="G1015" s="384">
        <v>0</v>
      </c>
      <c r="H1015" s="384">
        <v>0</v>
      </c>
      <c r="I1015" s="384">
        <v>0</v>
      </c>
      <c r="J1015" s="383">
        <v>19309</v>
      </c>
      <c r="K1015" s="383">
        <v>19596</v>
      </c>
    </row>
    <row r="1016" spans="1:11" x14ac:dyDescent="0.3">
      <c r="A1016" t="s">
        <v>2223</v>
      </c>
      <c r="B1016" t="s">
        <v>3107</v>
      </c>
      <c r="C1016" t="s">
        <v>3111</v>
      </c>
      <c r="D1016" s="383">
        <v>25974</v>
      </c>
      <c r="E1016" s="384">
        <v>2442268386.5500002</v>
      </c>
      <c r="F1016" s="384">
        <v>0</v>
      </c>
      <c r="G1016" s="384">
        <v>0</v>
      </c>
      <c r="H1016" s="384">
        <v>0</v>
      </c>
      <c r="I1016" s="384">
        <v>0</v>
      </c>
      <c r="J1016" s="383">
        <v>23137</v>
      </c>
      <c r="K1016" s="383">
        <v>23585</v>
      </c>
    </row>
    <row r="1017" spans="1:11" x14ac:dyDescent="0.3">
      <c r="A1017" t="s">
        <v>2223</v>
      </c>
      <c r="B1017" t="s">
        <v>3107</v>
      </c>
      <c r="C1017" t="s">
        <v>3112</v>
      </c>
      <c r="D1017" s="383">
        <v>31911</v>
      </c>
      <c r="E1017" s="384">
        <v>3592530200.5300002</v>
      </c>
      <c r="F1017" s="384">
        <v>0</v>
      </c>
      <c r="G1017" s="384">
        <v>0</v>
      </c>
      <c r="H1017" s="384">
        <v>0</v>
      </c>
      <c r="I1017" s="384">
        <v>0</v>
      </c>
      <c r="J1017" s="383">
        <v>28809</v>
      </c>
      <c r="K1017" s="383">
        <v>29422</v>
      </c>
    </row>
    <row r="1018" spans="1:11" x14ac:dyDescent="0.3">
      <c r="A1018" t="s">
        <v>2223</v>
      </c>
      <c r="B1018" t="s">
        <v>3107</v>
      </c>
      <c r="C1018" t="s">
        <v>3113</v>
      </c>
      <c r="D1018" s="383">
        <v>17182</v>
      </c>
      <c r="E1018" s="384">
        <v>2271605763.4899998</v>
      </c>
      <c r="F1018" s="384">
        <v>0</v>
      </c>
      <c r="G1018" s="384">
        <v>0</v>
      </c>
      <c r="H1018" s="384">
        <v>0</v>
      </c>
      <c r="I1018" s="384">
        <v>0</v>
      </c>
      <c r="J1018" s="383">
        <v>15997</v>
      </c>
      <c r="K1018" s="383">
        <v>16195</v>
      </c>
    </row>
    <row r="1019" spans="1:11" x14ac:dyDescent="0.3">
      <c r="A1019" t="s">
        <v>2223</v>
      </c>
      <c r="B1019" t="s">
        <v>3107</v>
      </c>
      <c r="C1019" t="s">
        <v>3114</v>
      </c>
      <c r="D1019" s="383">
        <v>14000</v>
      </c>
      <c r="E1019" s="384">
        <v>1987254318.0799999</v>
      </c>
      <c r="F1019" s="384">
        <v>0</v>
      </c>
      <c r="G1019" s="384">
        <v>0</v>
      </c>
      <c r="H1019" s="384">
        <v>0</v>
      </c>
      <c r="I1019" s="384">
        <v>0</v>
      </c>
      <c r="J1019" s="383">
        <v>13217</v>
      </c>
      <c r="K1019" s="383">
        <v>13308</v>
      </c>
    </row>
    <row r="1020" spans="1:11" x14ac:dyDescent="0.3">
      <c r="A1020" t="s">
        <v>2223</v>
      </c>
      <c r="B1020" t="s">
        <v>3107</v>
      </c>
      <c r="C1020" t="s">
        <v>3115</v>
      </c>
      <c r="D1020" s="383">
        <v>8275</v>
      </c>
      <c r="E1020" s="384">
        <v>1274418084.54</v>
      </c>
      <c r="F1020" s="384">
        <v>0</v>
      </c>
      <c r="G1020" s="384">
        <v>0</v>
      </c>
      <c r="H1020" s="384">
        <v>0</v>
      </c>
      <c r="I1020" s="384">
        <v>0</v>
      </c>
      <c r="J1020" s="383">
        <v>7988</v>
      </c>
      <c r="K1020" s="383">
        <v>8045</v>
      </c>
    </row>
    <row r="1021" spans="1:11" x14ac:dyDescent="0.3">
      <c r="A1021" t="s">
        <v>2223</v>
      </c>
      <c r="B1021" t="s">
        <v>3107</v>
      </c>
      <c r="C1021" t="s">
        <v>3116</v>
      </c>
      <c r="D1021" s="383">
        <v>4145</v>
      </c>
      <c r="E1021" s="384">
        <v>659868842.30999994</v>
      </c>
      <c r="F1021" s="384">
        <v>0</v>
      </c>
      <c r="G1021" s="384">
        <v>0</v>
      </c>
      <c r="H1021" s="384">
        <v>0</v>
      </c>
      <c r="I1021" s="384">
        <v>0</v>
      </c>
      <c r="J1021" s="383">
        <v>4041</v>
      </c>
      <c r="K1021" s="383">
        <v>4062</v>
      </c>
    </row>
    <row r="1022" spans="1:11" x14ac:dyDescent="0.3">
      <c r="A1022" t="s">
        <v>2223</v>
      </c>
      <c r="B1022" t="s">
        <v>3107</v>
      </c>
      <c r="C1022" t="s">
        <v>3117</v>
      </c>
      <c r="D1022" s="383">
        <v>188701</v>
      </c>
      <c r="E1022" s="384">
        <v>7293742516.5</v>
      </c>
      <c r="F1022" s="384">
        <v>0</v>
      </c>
      <c r="G1022" s="384">
        <v>0</v>
      </c>
      <c r="H1022" s="384">
        <v>0</v>
      </c>
      <c r="I1022" s="384">
        <v>0</v>
      </c>
      <c r="J1022" s="383">
        <v>170236</v>
      </c>
      <c r="K1022" s="383">
        <v>172993</v>
      </c>
    </row>
    <row r="1023" spans="1:11" x14ac:dyDescent="0.3">
      <c r="A1023" t="s">
        <v>2223</v>
      </c>
      <c r="B1023" t="s">
        <v>3107</v>
      </c>
      <c r="C1023" t="s">
        <v>3118</v>
      </c>
      <c r="D1023" s="383">
        <v>70045</v>
      </c>
      <c r="E1023" s="384">
        <v>5184528854.6400003</v>
      </c>
      <c r="F1023" s="384">
        <v>0</v>
      </c>
      <c r="G1023" s="384">
        <v>0</v>
      </c>
      <c r="H1023" s="384">
        <v>0</v>
      </c>
      <c r="I1023" s="384">
        <v>0</v>
      </c>
      <c r="J1023" s="383">
        <v>60414</v>
      </c>
      <c r="K1023" s="383">
        <v>60844</v>
      </c>
    </row>
    <row r="1024" spans="1:11" x14ac:dyDescent="0.3">
      <c r="A1024" t="s">
        <v>2223</v>
      </c>
      <c r="B1024" t="s">
        <v>3107</v>
      </c>
      <c r="C1024" t="s">
        <v>3119</v>
      </c>
      <c r="D1024" s="383">
        <v>83002</v>
      </c>
      <c r="E1024" s="384">
        <v>7140301710.5100002</v>
      </c>
      <c r="F1024" s="384">
        <v>0</v>
      </c>
      <c r="G1024" s="384">
        <v>0</v>
      </c>
      <c r="H1024" s="384">
        <v>0</v>
      </c>
      <c r="I1024" s="384">
        <v>0</v>
      </c>
      <c r="J1024" s="383">
        <v>70280</v>
      </c>
      <c r="K1024" s="383">
        <v>70803</v>
      </c>
    </row>
    <row r="1025" spans="1:11" x14ac:dyDescent="0.3">
      <c r="A1025" t="s">
        <v>2223</v>
      </c>
      <c r="B1025" t="s">
        <v>3107</v>
      </c>
      <c r="C1025" t="s">
        <v>3120</v>
      </c>
      <c r="D1025" s="383">
        <v>94326</v>
      </c>
      <c r="E1025" s="384">
        <v>9097757890.1000004</v>
      </c>
      <c r="F1025" s="384">
        <v>0</v>
      </c>
      <c r="G1025" s="384">
        <v>0</v>
      </c>
      <c r="H1025" s="384">
        <v>0</v>
      </c>
      <c r="I1025" s="384">
        <v>0</v>
      </c>
      <c r="J1025" s="383">
        <v>79049</v>
      </c>
      <c r="K1025" s="383">
        <v>79766</v>
      </c>
    </row>
    <row r="1026" spans="1:11" x14ac:dyDescent="0.3">
      <c r="A1026" t="s">
        <v>2223</v>
      </c>
      <c r="B1026" t="s">
        <v>3107</v>
      </c>
      <c r="C1026" t="s">
        <v>3121</v>
      </c>
      <c r="D1026" s="383">
        <v>109965</v>
      </c>
      <c r="E1026" s="384">
        <v>12390862387.68</v>
      </c>
      <c r="F1026" s="384">
        <v>0</v>
      </c>
      <c r="G1026" s="384">
        <v>0</v>
      </c>
      <c r="H1026" s="384">
        <v>0</v>
      </c>
      <c r="I1026" s="384">
        <v>0</v>
      </c>
      <c r="J1026" s="383">
        <v>92985</v>
      </c>
      <c r="K1026" s="383">
        <v>93879</v>
      </c>
    </row>
    <row r="1027" spans="1:11" x14ac:dyDescent="0.3">
      <c r="A1027" t="s">
        <v>2223</v>
      </c>
      <c r="B1027" t="s">
        <v>3107</v>
      </c>
      <c r="C1027" t="s">
        <v>3122</v>
      </c>
      <c r="D1027" s="383">
        <v>56674</v>
      </c>
      <c r="E1027" s="384">
        <v>7602297844.5500002</v>
      </c>
      <c r="F1027" s="384">
        <v>0</v>
      </c>
      <c r="G1027" s="384">
        <v>0</v>
      </c>
      <c r="H1027" s="384">
        <v>0</v>
      </c>
      <c r="I1027" s="384">
        <v>0</v>
      </c>
      <c r="J1027" s="383">
        <v>50496</v>
      </c>
      <c r="K1027" s="383">
        <v>50764</v>
      </c>
    </row>
    <row r="1028" spans="1:11" x14ac:dyDescent="0.3">
      <c r="A1028" t="s">
        <v>2223</v>
      </c>
      <c r="B1028" t="s">
        <v>3107</v>
      </c>
      <c r="C1028" t="s">
        <v>3123</v>
      </c>
      <c r="D1028" s="383">
        <v>50015</v>
      </c>
      <c r="E1028" s="384">
        <v>7245472707.1099997</v>
      </c>
      <c r="F1028" s="384">
        <v>0</v>
      </c>
      <c r="G1028" s="384">
        <v>0</v>
      </c>
      <c r="H1028" s="384">
        <v>0</v>
      </c>
      <c r="I1028" s="384">
        <v>0</v>
      </c>
      <c r="J1028" s="383">
        <v>45530</v>
      </c>
      <c r="K1028" s="383">
        <v>45757</v>
      </c>
    </row>
    <row r="1029" spans="1:11" x14ac:dyDescent="0.3">
      <c r="A1029" t="s">
        <v>2223</v>
      </c>
      <c r="B1029" t="s">
        <v>3107</v>
      </c>
      <c r="C1029" t="s">
        <v>3124</v>
      </c>
      <c r="D1029" s="383">
        <v>29503</v>
      </c>
      <c r="E1029" s="384">
        <v>4447641508.5500002</v>
      </c>
      <c r="F1029" s="384">
        <v>0</v>
      </c>
      <c r="G1029" s="384">
        <v>0</v>
      </c>
      <c r="H1029" s="384">
        <v>0</v>
      </c>
      <c r="I1029" s="384">
        <v>0</v>
      </c>
      <c r="J1029" s="383">
        <v>27673</v>
      </c>
      <c r="K1029" s="383">
        <v>27797</v>
      </c>
    </row>
    <row r="1030" spans="1:11" x14ac:dyDescent="0.3">
      <c r="A1030" t="s">
        <v>2223</v>
      </c>
      <c r="B1030" t="s">
        <v>3107</v>
      </c>
      <c r="C1030" t="s">
        <v>3125</v>
      </c>
      <c r="D1030" s="383">
        <v>13223</v>
      </c>
      <c r="E1030" s="384">
        <v>2073508469.6099999</v>
      </c>
      <c r="F1030" s="384">
        <v>0</v>
      </c>
      <c r="G1030" s="384">
        <v>0</v>
      </c>
      <c r="H1030" s="384">
        <v>0</v>
      </c>
      <c r="I1030" s="384">
        <v>0</v>
      </c>
      <c r="J1030" s="383">
        <v>12640</v>
      </c>
      <c r="K1030" s="383">
        <v>12706</v>
      </c>
    </row>
    <row r="1031" spans="1:11" x14ac:dyDescent="0.3">
      <c r="A1031" t="s">
        <v>2223</v>
      </c>
      <c r="B1031" t="s">
        <v>3107</v>
      </c>
      <c r="C1031" t="s">
        <v>3126</v>
      </c>
      <c r="D1031" s="383">
        <v>28293</v>
      </c>
      <c r="E1031" s="384">
        <v>775319341.45000005</v>
      </c>
      <c r="F1031" s="384">
        <v>0</v>
      </c>
      <c r="G1031" s="384">
        <v>0</v>
      </c>
      <c r="H1031" s="384">
        <v>0</v>
      </c>
      <c r="I1031" s="384">
        <v>0</v>
      </c>
      <c r="J1031" s="383">
        <v>27424</v>
      </c>
      <c r="K1031" s="383">
        <v>27867</v>
      </c>
    </row>
    <row r="1032" spans="1:11" x14ac:dyDescent="0.3">
      <c r="A1032" t="s">
        <v>2223</v>
      </c>
      <c r="B1032" t="s">
        <v>3107</v>
      </c>
      <c r="C1032" t="s">
        <v>3127</v>
      </c>
      <c r="D1032" s="383">
        <v>11488</v>
      </c>
      <c r="E1032" s="384">
        <v>632314720</v>
      </c>
      <c r="F1032" s="384">
        <v>0</v>
      </c>
      <c r="G1032" s="384">
        <v>0</v>
      </c>
      <c r="H1032" s="384">
        <v>0</v>
      </c>
      <c r="I1032" s="384">
        <v>0</v>
      </c>
      <c r="J1032" s="383">
        <v>11120</v>
      </c>
      <c r="K1032" s="383">
        <v>11224</v>
      </c>
    </row>
    <row r="1033" spans="1:11" x14ac:dyDescent="0.3">
      <c r="A1033" t="s">
        <v>2223</v>
      </c>
      <c r="B1033" t="s">
        <v>3107</v>
      </c>
      <c r="C1033" t="s">
        <v>3128</v>
      </c>
      <c r="D1033" s="383">
        <v>14727</v>
      </c>
      <c r="E1033" s="384">
        <v>1028564312.95</v>
      </c>
      <c r="F1033" s="384">
        <v>0</v>
      </c>
      <c r="G1033" s="384">
        <v>0</v>
      </c>
      <c r="H1033" s="384">
        <v>0</v>
      </c>
      <c r="I1033" s="384">
        <v>0</v>
      </c>
      <c r="J1033" s="383">
        <v>13986</v>
      </c>
      <c r="K1033" s="383">
        <v>14109</v>
      </c>
    </row>
    <row r="1034" spans="1:11" x14ac:dyDescent="0.3">
      <c r="A1034" t="s">
        <v>2223</v>
      </c>
      <c r="B1034" t="s">
        <v>3107</v>
      </c>
      <c r="C1034" t="s">
        <v>3129</v>
      </c>
      <c r="D1034" s="383">
        <v>13986</v>
      </c>
      <c r="E1034" s="384">
        <v>1202290308.21</v>
      </c>
      <c r="F1034" s="384">
        <v>0</v>
      </c>
      <c r="G1034" s="384">
        <v>0</v>
      </c>
      <c r="H1034" s="384">
        <v>0</v>
      </c>
      <c r="I1034" s="384">
        <v>0</v>
      </c>
      <c r="J1034" s="383">
        <v>13411</v>
      </c>
      <c r="K1034" s="383">
        <v>13559</v>
      </c>
    </row>
    <row r="1035" spans="1:11" x14ac:dyDescent="0.3">
      <c r="A1035" t="s">
        <v>2223</v>
      </c>
      <c r="B1035" t="s">
        <v>3107</v>
      </c>
      <c r="C1035" t="s">
        <v>3130</v>
      </c>
      <c r="D1035" s="383">
        <v>11392</v>
      </c>
      <c r="E1035" s="384">
        <v>1215001928.3599999</v>
      </c>
      <c r="F1035" s="384">
        <v>0</v>
      </c>
      <c r="G1035" s="384">
        <v>0</v>
      </c>
      <c r="H1035" s="384">
        <v>0</v>
      </c>
      <c r="I1035" s="384">
        <v>0</v>
      </c>
      <c r="J1035" s="383">
        <v>11031</v>
      </c>
      <c r="K1035" s="383">
        <v>11163</v>
      </c>
    </row>
    <row r="1036" spans="1:11" x14ac:dyDescent="0.3">
      <c r="A1036" t="s">
        <v>2223</v>
      </c>
      <c r="B1036" t="s">
        <v>3107</v>
      </c>
      <c r="C1036" t="s">
        <v>3131</v>
      </c>
      <c r="D1036" s="383">
        <v>3229</v>
      </c>
      <c r="E1036" s="384">
        <v>374986266.24000001</v>
      </c>
      <c r="F1036" s="384">
        <v>0</v>
      </c>
      <c r="G1036" s="384">
        <v>0</v>
      </c>
      <c r="H1036" s="384">
        <v>0</v>
      </c>
      <c r="I1036" s="384">
        <v>0</v>
      </c>
      <c r="J1036" s="383">
        <v>3156</v>
      </c>
      <c r="K1036" s="383">
        <v>3187</v>
      </c>
    </row>
    <row r="1037" spans="1:11" x14ac:dyDescent="0.3">
      <c r="A1037" t="s">
        <v>2223</v>
      </c>
      <c r="B1037" t="s">
        <v>3107</v>
      </c>
      <c r="C1037" t="s">
        <v>3132</v>
      </c>
      <c r="D1037" s="383">
        <v>1809</v>
      </c>
      <c r="E1037" s="384">
        <v>231188899.09999999</v>
      </c>
      <c r="F1037" s="384">
        <v>0</v>
      </c>
      <c r="G1037" s="384">
        <v>0</v>
      </c>
      <c r="H1037" s="384">
        <v>0</v>
      </c>
      <c r="I1037" s="384">
        <v>0</v>
      </c>
      <c r="J1037" s="383">
        <v>1785</v>
      </c>
      <c r="K1037" s="383">
        <v>1793</v>
      </c>
    </row>
    <row r="1038" spans="1:11" x14ac:dyDescent="0.3">
      <c r="A1038" t="s">
        <v>2223</v>
      </c>
      <c r="B1038" t="s">
        <v>3107</v>
      </c>
      <c r="C1038" t="s">
        <v>3133</v>
      </c>
      <c r="D1038" s="383">
        <v>1121</v>
      </c>
      <c r="E1038" s="384">
        <v>137208484.55000001</v>
      </c>
      <c r="F1038" s="384">
        <v>0</v>
      </c>
      <c r="G1038" s="384">
        <v>0</v>
      </c>
      <c r="H1038" s="384">
        <v>0</v>
      </c>
      <c r="I1038" s="384">
        <v>0</v>
      </c>
      <c r="J1038" s="383">
        <v>1110</v>
      </c>
      <c r="K1038" s="383">
        <v>1114</v>
      </c>
    </row>
    <row r="1039" spans="1:11" x14ac:dyDescent="0.3">
      <c r="A1039" t="s">
        <v>2223</v>
      </c>
      <c r="B1039" t="s">
        <v>3107</v>
      </c>
      <c r="C1039" t="s">
        <v>3134</v>
      </c>
      <c r="D1039" s="383">
        <v>665</v>
      </c>
      <c r="E1039" s="384">
        <v>89110145.719999999</v>
      </c>
      <c r="F1039" s="384">
        <v>0</v>
      </c>
      <c r="G1039" s="384">
        <v>0</v>
      </c>
      <c r="H1039" s="384">
        <v>0</v>
      </c>
      <c r="I1039" s="384">
        <v>0</v>
      </c>
      <c r="J1039" s="383">
        <v>661</v>
      </c>
      <c r="K1039" s="383">
        <v>662</v>
      </c>
    </row>
    <row r="1040" spans="1:11" x14ac:dyDescent="0.3">
      <c r="A1040" t="s">
        <v>2223</v>
      </c>
      <c r="B1040" t="s">
        <v>3135</v>
      </c>
      <c r="C1040" t="s">
        <v>3136</v>
      </c>
      <c r="D1040" s="383">
        <v>0</v>
      </c>
      <c r="E1040" s="384">
        <v>1242651045.5599999</v>
      </c>
      <c r="F1040" s="384">
        <v>0</v>
      </c>
      <c r="G1040" s="384">
        <v>0</v>
      </c>
      <c r="H1040" s="384">
        <v>79804353409.270004</v>
      </c>
      <c r="I1040" s="384">
        <v>0</v>
      </c>
      <c r="J1040" s="383">
        <v>0</v>
      </c>
      <c r="K1040" s="383">
        <v>0</v>
      </c>
    </row>
    <row r="1041" spans="1:11" x14ac:dyDescent="0.3">
      <c r="A1041" t="s">
        <v>2225</v>
      </c>
      <c r="B1041" t="s">
        <v>3137</v>
      </c>
      <c r="C1041" t="s">
        <v>475</v>
      </c>
      <c r="D1041" s="383">
        <v>3412</v>
      </c>
      <c r="E1041" s="384">
        <v>508346625.72000003</v>
      </c>
      <c r="F1041" s="384">
        <v>0</v>
      </c>
      <c r="G1041" s="384">
        <v>0</v>
      </c>
      <c r="H1041" s="384">
        <v>0</v>
      </c>
      <c r="I1041" s="384">
        <v>0</v>
      </c>
      <c r="J1041" s="383">
        <v>3294</v>
      </c>
      <c r="K1041" s="383">
        <v>3303</v>
      </c>
    </row>
    <row r="1042" spans="1:11" x14ac:dyDescent="0.3">
      <c r="A1042" t="s">
        <v>2223</v>
      </c>
      <c r="B1042" t="s">
        <v>3137</v>
      </c>
      <c r="C1042" t="s">
        <v>475</v>
      </c>
      <c r="D1042" s="383">
        <v>13378</v>
      </c>
      <c r="E1042" s="384">
        <v>1888860524.4400001</v>
      </c>
      <c r="F1042" s="384">
        <v>0</v>
      </c>
      <c r="G1042" s="384">
        <v>0</v>
      </c>
      <c r="H1042" s="384">
        <v>0</v>
      </c>
      <c r="I1042" s="384">
        <v>0</v>
      </c>
      <c r="J1042" s="383">
        <v>12863</v>
      </c>
      <c r="K1042" s="383">
        <v>12915</v>
      </c>
    </row>
    <row r="1043" spans="1:11" x14ac:dyDescent="0.3">
      <c r="A1043" t="s">
        <v>2225</v>
      </c>
      <c r="B1043" t="s">
        <v>3137</v>
      </c>
      <c r="C1043" t="s">
        <v>477</v>
      </c>
      <c r="D1043" s="383">
        <v>7456</v>
      </c>
      <c r="E1043" s="384">
        <v>1137092418.4400001</v>
      </c>
      <c r="F1043" s="384">
        <v>0</v>
      </c>
      <c r="G1043" s="384">
        <v>0</v>
      </c>
      <c r="H1043" s="384">
        <v>0</v>
      </c>
      <c r="I1043" s="384">
        <v>0</v>
      </c>
      <c r="J1043" s="383">
        <v>7093</v>
      </c>
      <c r="K1043" s="383">
        <v>7102</v>
      </c>
    </row>
    <row r="1044" spans="1:11" x14ac:dyDescent="0.3">
      <c r="A1044" t="s">
        <v>2223</v>
      </c>
      <c r="B1044" t="s">
        <v>3137</v>
      </c>
      <c r="C1044" t="s">
        <v>477</v>
      </c>
      <c r="D1044" s="383">
        <v>26633</v>
      </c>
      <c r="E1044" s="384">
        <v>3729941805.4099998</v>
      </c>
      <c r="F1044" s="384">
        <v>0</v>
      </c>
      <c r="G1044" s="384">
        <v>0</v>
      </c>
      <c r="H1044" s="384">
        <v>0</v>
      </c>
      <c r="I1044" s="384">
        <v>0</v>
      </c>
      <c r="J1044" s="383">
        <v>25515</v>
      </c>
      <c r="K1044" s="383">
        <v>25630</v>
      </c>
    </row>
    <row r="1045" spans="1:11" x14ac:dyDescent="0.3">
      <c r="A1045" t="s">
        <v>2225</v>
      </c>
      <c r="B1045" t="s">
        <v>3137</v>
      </c>
      <c r="C1045" t="s">
        <v>479</v>
      </c>
      <c r="D1045" s="383">
        <v>10937</v>
      </c>
      <c r="E1045" s="384">
        <v>1616277045.8299999</v>
      </c>
      <c r="F1045" s="384">
        <v>0</v>
      </c>
      <c r="G1045" s="384">
        <v>0</v>
      </c>
      <c r="H1045" s="384">
        <v>0</v>
      </c>
      <c r="I1045" s="384">
        <v>0</v>
      </c>
      <c r="J1045" s="383">
        <v>10180</v>
      </c>
      <c r="K1045" s="383">
        <v>10201</v>
      </c>
    </row>
    <row r="1046" spans="1:11" x14ac:dyDescent="0.3">
      <c r="A1046" t="s">
        <v>2223</v>
      </c>
      <c r="B1046" t="s">
        <v>3137</v>
      </c>
      <c r="C1046" t="s">
        <v>479</v>
      </c>
      <c r="D1046" s="383">
        <v>37307</v>
      </c>
      <c r="E1046" s="384">
        <v>4952411420.6599998</v>
      </c>
      <c r="F1046" s="384">
        <v>0</v>
      </c>
      <c r="G1046" s="384">
        <v>0</v>
      </c>
      <c r="H1046" s="384">
        <v>0</v>
      </c>
      <c r="I1046" s="384">
        <v>0</v>
      </c>
      <c r="J1046" s="383">
        <v>34946</v>
      </c>
      <c r="K1046" s="383">
        <v>35152</v>
      </c>
    </row>
    <row r="1047" spans="1:11" x14ac:dyDescent="0.3">
      <c r="A1047" t="s">
        <v>2223</v>
      </c>
      <c r="B1047" t="s">
        <v>3137</v>
      </c>
      <c r="C1047" t="s">
        <v>481</v>
      </c>
      <c r="D1047" s="383">
        <v>173887</v>
      </c>
      <c r="E1047" s="384">
        <v>23204672101.5</v>
      </c>
      <c r="F1047" s="384">
        <v>0</v>
      </c>
      <c r="G1047" s="384">
        <v>0</v>
      </c>
      <c r="H1047" s="384">
        <v>0</v>
      </c>
      <c r="I1047" s="384">
        <v>0</v>
      </c>
      <c r="J1047" s="383">
        <v>164226</v>
      </c>
      <c r="K1047" s="383">
        <v>167068</v>
      </c>
    </row>
    <row r="1048" spans="1:11" x14ac:dyDescent="0.3">
      <c r="A1048" t="s">
        <v>2225</v>
      </c>
      <c r="B1048" t="s">
        <v>3137</v>
      </c>
      <c r="C1048" t="s">
        <v>481</v>
      </c>
      <c r="D1048" s="383">
        <v>38282</v>
      </c>
      <c r="E1048" s="384">
        <v>5619718984.6999998</v>
      </c>
      <c r="F1048" s="384">
        <v>0</v>
      </c>
      <c r="G1048" s="384">
        <v>0</v>
      </c>
      <c r="H1048" s="384">
        <v>0</v>
      </c>
      <c r="I1048" s="384">
        <v>0</v>
      </c>
      <c r="J1048" s="383">
        <v>35453</v>
      </c>
      <c r="K1048" s="383">
        <v>35700</v>
      </c>
    </row>
    <row r="1049" spans="1:11" x14ac:dyDescent="0.3">
      <c r="A1049" t="s">
        <v>2225</v>
      </c>
      <c r="B1049" t="s">
        <v>3137</v>
      </c>
      <c r="C1049" t="s">
        <v>483</v>
      </c>
      <c r="D1049" s="383">
        <v>67252</v>
      </c>
      <c r="E1049" s="384">
        <v>5883250642.7299995</v>
      </c>
      <c r="F1049" s="384">
        <v>0</v>
      </c>
      <c r="G1049" s="384">
        <v>0</v>
      </c>
      <c r="H1049" s="384">
        <v>0</v>
      </c>
      <c r="I1049" s="384">
        <v>0</v>
      </c>
      <c r="J1049" s="383">
        <v>48946</v>
      </c>
      <c r="K1049" s="383">
        <v>49075</v>
      </c>
    </row>
    <row r="1050" spans="1:11" x14ac:dyDescent="0.3">
      <c r="A1050" t="s">
        <v>2223</v>
      </c>
      <c r="B1050" t="s">
        <v>3137</v>
      </c>
      <c r="C1050" t="s">
        <v>483</v>
      </c>
      <c r="D1050" s="383">
        <v>720019</v>
      </c>
      <c r="E1050" s="384">
        <v>51500180621.029999</v>
      </c>
      <c r="F1050" s="384">
        <v>0</v>
      </c>
      <c r="G1050" s="384">
        <v>0</v>
      </c>
      <c r="H1050" s="384">
        <v>0</v>
      </c>
      <c r="I1050" s="384">
        <v>0</v>
      </c>
      <c r="J1050" s="383">
        <v>602339</v>
      </c>
      <c r="K1050" s="383">
        <v>635813</v>
      </c>
    </row>
    <row r="1051" spans="1:11" x14ac:dyDescent="0.3">
      <c r="A1051" t="s">
        <v>2223</v>
      </c>
      <c r="B1051" t="s">
        <v>3138</v>
      </c>
      <c r="C1051" t="s">
        <v>3139</v>
      </c>
      <c r="D1051" s="383">
        <v>1176</v>
      </c>
      <c r="E1051" s="384">
        <v>97960327.340000004</v>
      </c>
      <c r="F1051" s="384">
        <v>0</v>
      </c>
      <c r="G1051" s="384">
        <v>0</v>
      </c>
      <c r="H1051" s="384">
        <v>0</v>
      </c>
      <c r="I1051" s="384">
        <v>0</v>
      </c>
      <c r="J1051" s="383">
        <v>1157</v>
      </c>
      <c r="K1051" s="383">
        <v>1157</v>
      </c>
    </row>
    <row r="1052" spans="1:11" x14ac:dyDescent="0.3">
      <c r="A1052" t="s">
        <v>2223</v>
      </c>
      <c r="B1052" t="s">
        <v>3138</v>
      </c>
      <c r="C1052" t="s">
        <v>3140</v>
      </c>
      <c r="D1052" s="383">
        <v>796</v>
      </c>
      <c r="E1052" s="384">
        <v>91912263.519999996</v>
      </c>
      <c r="F1052" s="384">
        <v>0</v>
      </c>
      <c r="G1052" s="384">
        <v>0</v>
      </c>
      <c r="H1052" s="384">
        <v>0</v>
      </c>
      <c r="I1052" s="384">
        <v>0</v>
      </c>
      <c r="J1052" s="383">
        <v>773</v>
      </c>
      <c r="K1052" s="383">
        <v>772</v>
      </c>
    </row>
    <row r="1053" spans="1:11" x14ac:dyDescent="0.3">
      <c r="A1053" t="s">
        <v>2223</v>
      </c>
      <c r="B1053" t="s">
        <v>3138</v>
      </c>
      <c r="C1053" t="s">
        <v>3141</v>
      </c>
      <c r="D1053" s="383">
        <v>1096</v>
      </c>
      <c r="E1053" s="384">
        <v>139896266.80000001</v>
      </c>
      <c r="F1053" s="384">
        <v>0</v>
      </c>
      <c r="G1053" s="384">
        <v>0</v>
      </c>
      <c r="H1053" s="384">
        <v>0</v>
      </c>
      <c r="I1053" s="384">
        <v>0</v>
      </c>
      <c r="J1053" s="383">
        <v>1062</v>
      </c>
      <c r="K1053" s="383">
        <v>1062</v>
      </c>
    </row>
    <row r="1054" spans="1:11" x14ac:dyDescent="0.3">
      <c r="A1054" t="s">
        <v>2223</v>
      </c>
      <c r="B1054" t="s">
        <v>3138</v>
      </c>
      <c r="C1054" t="s">
        <v>3142</v>
      </c>
      <c r="D1054" s="383">
        <v>1432</v>
      </c>
      <c r="E1054" s="384">
        <v>196566789.24000001</v>
      </c>
      <c r="F1054" s="384">
        <v>0</v>
      </c>
      <c r="G1054" s="384">
        <v>0</v>
      </c>
      <c r="H1054" s="384">
        <v>0</v>
      </c>
      <c r="I1054" s="384">
        <v>0</v>
      </c>
      <c r="J1054" s="383">
        <v>1386</v>
      </c>
      <c r="K1054" s="383">
        <v>1385</v>
      </c>
    </row>
    <row r="1055" spans="1:11" x14ac:dyDescent="0.3">
      <c r="A1055" t="s">
        <v>2223</v>
      </c>
      <c r="B1055" t="s">
        <v>3138</v>
      </c>
      <c r="C1055" t="s">
        <v>3143</v>
      </c>
      <c r="D1055" s="383">
        <v>1762</v>
      </c>
      <c r="E1055" s="384">
        <v>254871742.81999999</v>
      </c>
      <c r="F1055" s="384">
        <v>0</v>
      </c>
      <c r="G1055" s="384">
        <v>0</v>
      </c>
      <c r="H1055" s="384">
        <v>0</v>
      </c>
      <c r="I1055" s="384">
        <v>0</v>
      </c>
      <c r="J1055" s="383">
        <v>1699</v>
      </c>
      <c r="K1055" s="383">
        <v>1698</v>
      </c>
    </row>
    <row r="1056" spans="1:11" x14ac:dyDescent="0.3">
      <c r="A1056" t="s">
        <v>2223</v>
      </c>
      <c r="B1056" t="s">
        <v>3138</v>
      </c>
      <c r="C1056" t="s">
        <v>3144</v>
      </c>
      <c r="D1056" s="383">
        <v>1181</v>
      </c>
      <c r="E1056" s="384">
        <v>178434191.66999999</v>
      </c>
      <c r="F1056" s="384">
        <v>0</v>
      </c>
      <c r="G1056" s="384">
        <v>0</v>
      </c>
      <c r="H1056" s="384">
        <v>0</v>
      </c>
      <c r="I1056" s="384">
        <v>0</v>
      </c>
      <c r="J1056" s="383">
        <v>1143</v>
      </c>
      <c r="K1056" s="383">
        <v>1144</v>
      </c>
    </row>
    <row r="1057" spans="1:11" x14ac:dyDescent="0.3">
      <c r="A1057" t="s">
        <v>2223</v>
      </c>
      <c r="B1057" t="s">
        <v>3138</v>
      </c>
      <c r="C1057" t="s">
        <v>3145</v>
      </c>
      <c r="D1057" s="383">
        <v>1434</v>
      </c>
      <c r="E1057" s="384">
        <v>227085435.02000001</v>
      </c>
      <c r="F1057" s="384">
        <v>0</v>
      </c>
      <c r="G1057" s="384">
        <v>0</v>
      </c>
      <c r="H1057" s="384">
        <v>0</v>
      </c>
      <c r="I1057" s="384">
        <v>0</v>
      </c>
      <c r="J1057" s="383">
        <v>1377</v>
      </c>
      <c r="K1057" s="383">
        <v>1379</v>
      </c>
    </row>
    <row r="1058" spans="1:11" x14ac:dyDescent="0.3">
      <c r="A1058" t="s">
        <v>2223</v>
      </c>
      <c r="B1058" t="s">
        <v>3138</v>
      </c>
      <c r="C1058" t="s">
        <v>3146</v>
      </c>
      <c r="D1058" s="383">
        <v>1799</v>
      </c>
      <c r="E1058" s="384">
        <v>277517529.13999999</v>
      </c>
      <c r="F1058" s="384">
        <v>0</v>
      </c>
      <c r="G1058" s="384">
        <v>0</v>
      </c>
      <c r="H1058" s="384">
        <v>0</v>
      </c>
      <c r="I1058" s="384">
        <v>0</v>
      </c>
      <c r="J1058" s="383">
        <v>1723</v>
      </c>
      <c r="K1058" s="383">
        <v>1728</v>
      </c>
    </row>
    <row r="1059" spans="1:11" x14ac:dyDescent="0.3">
      <c r="A1059" t="s">
        <v>2223</v>
      </c>
      <c r="B1059" t="s">
        <v>3138</v>
      </c>
      <c r="C1059" t="s">
        <v>3147</v>
      </c>
      <c r="D1059" s="383">
        <v>2702</v>
      </c>
      <c r="E1059" s="384">
        <v>424615978.88999999</v>
      </c>
      <c r="F1059" s="384">
        <v>0</v>
      </c>
      <c r="G1059" s="384">
        <v>0</v>
      </c>
      <c r="H1059" s="384">
        <v>0</v>
      </c>
      <c r="I1059" s="384">
        <v>0</v>
      </c>
      <c r="J1059" s="383">
        <v>2577</v>
      </c>
      <c r="K1059" s="383">
        <v>2590</v>
      </c>
    </row>
    <row r="1060" spans="1:11" x14ac:dyDescent="0.3">
      <c r="A1060" t="s">
        <v>2223</v>
      </c>
      <c r="B1060" t="s">
        <v>3138</v>
      </c>
      <c r="C1060" t="s">
        <v>3148</v>
      </c>
      <c r="D1060" s="383">
        <v>2453</v>
      </c>
      <c r="E1060" s="384">
        <v>199632428.78</v>
      </c>
      <c r="F1060" s="384">
        <v>0</v>
      </c>
      <c r="G1060" s="384">
        <v>0</v>
      </c>
      <c r="H1060" s="384">
        <v>0</v>
      </c>
      <c r="I1060" s="384">
        <v>0</v>
      </c>
      <c r="J1060" s="383">
        <v>2388</v>
      </c>
      <c r="K1060" s="383">
        <v>2389</v>
      </c>
    </row>
    <row r="1061" spans="1:11" x14ac:dyDescent="0.3">
      <c r="A1061" t="s">
        <v>2223</v>
      </c>
      <c r="B1061" t="s">
        <v>3138</v>
      </c>
      <c r="C1061" t="s">
        <v>3149</v>
      </c>
      <c r="D1061" s="383">
        <v>1633</v>
      </c>
      <c r="E1061" s="384">
        <v>190910487.00999999</v>
      </c>
      <c r="F1061" s="384">
        <v>0</v>
      </c>
      <c r="G1061" s="384">
        <v>0</v>
      </c>
      <c r="H1061" s="384">
        <v>0</v>
      </c>
      <c r="I1061" s="384">
        <v>0</v>
      </c>
      <c r="J1061" s="383">
        <v>1572</v>
      </c>
      <c r="K1061" s="383">
        <v>1571</v>
      </c>
    </row>
    <row r="1062" spans="1:11" x14ac:dyDescent="0.3">
      <c r="A1062" t="s">
        <v>2223</v>
      </c>
      <c r="B1062" t="s">
        <v>3138</v>
      </c>
      <c r="C1062" t="s">
        <v>3150</v>
      </c>
      <c r="D1062" s="383">
        <v>2111</v>
      </c>
      <c r="E1062" s="384">
        <v>273133908.58999997</v>
      </c>
      <c r="F1062" s="384">
        <v>0</v>
      </c>
      <c r="G1062" s="384">
        <v>0</v>
      </c>
      <c r="H1062" s="384">
        <v>0</v>
      </c>
      <c r="I1062" s="384">
        <v>0</v>
      </c>
      <c r="J1062" s="383">
        <v>2030</v>
      </c>
      <c r="K1062" s="383">
        <v>2031</v>
      </c>
    </row>
    <row r="1063" spans="1:11" x14ac:dyDescent="0.3">
      <c r="A1063" t="s">
        <v>2223</v>
      </c>
      <c r="B1063" t="s">
        <v>3138</v>
      </c>
      <c r="C1063" t="s">
        <v>3151</v>
      </c>
      <c r="D1063" s="383">
        <v>2526</v>
      </c>
      <c r="E1063" s="384">
        <v>349841371.12</v>
      </c>
      <c r="F1063" s="384">
        <v>0</v>
      </c>
      <c r="G1063" s="384">
        <v>0</v>
      </c>
      <c r="H1063" s="384">
        <v>0</v>
      </c>
      <c r="I1063" s="384">
        <v>0</v>
      </c>
      <c r="J1063" s="383">
        <v>2409</v>
      </c>
      <c r="K1063" s="383">
        <v>2408</v>
      </c>
    </row>
    <row r="1064" spans="1:11" x14ac:dyDescent="0.3">
      <c r="A1064" t="s">
        <v>2223</v>
      </c>
      <c r="B1064" t="s">
        <v>3138</v>
      </c>
      <c r="C1064" t="s">
        <v>3152</v>
      </c>
      <c r="D1064" s="383">
        <v>3364</v>
      </c>
      <c r="E1064" s="384">
        <v>465735685.98000002</v>
      </c>
      <c r="F1064" s="384">
        <v>0</v>
      </c>
      <c r="G1064" s="384">
        <v>0</v>
      </c>
      <c r="H1064" s="384">
        <v>0</v>
      </c>
      <c r="I1064" s="384">
        <v>0</v>
      </c>
      <c r="J1064" s="383">
        <v>3211</v>
      </c>
      <c r="K1064" s="383">
        <v>3212</v>
      </c>
    </row>
    <row r="1065" spans="1:11" x14ac:dyDescent="0.3">
      <c r="A1065" t="s">
        <v>2223</v>
      </c>
      <c r="B1065" t="s">
        <v>3138</v>
      </c>
      <c r="C1065" t="s">
        <v>3153</v>
      </c>
      <c r="D1065" s="383">
        <v>2365</v>
      </c>
      <c r="E1065" s="384">
        <v>355167139.06</v>
      </c>
      <c r="F1065" s="384">
        <v>0</v>
      </c>
      <c r="G1065" s="384">
        <v>0</v>
      </c>
      <c r="H1065" s="384">
        <v>0</v>
      </c>
      <c r="I1065" s="384">
        <v>0</v>
      </c>
      <c r="J1065" s="383">
        <v>2263</v>
      </c>
      <c r="K1065" s="383">
        <v>2261</v>
      </c>
    </row>
    <row r="1066" spans="1:11" x14ac:dyDescent="0.3">
      <c r="A1066" t="s">
        <v>2223</v>
      </c>
      <c r="B1066" t="s">
        <v>3138</v>
      </c>
      <c r="C1066" t="s">
        <v>3154</v>
      </c>
      <c r="D1066" s="383">
        <v>2898</v>
      </c>
      <c r="E1066" s="384">
        <v>444624605.97000003</v>
      </c>
      <c r="F1066" s="384">
        <v>0</v>
      </c>
      <c r="G1066" s="384">
        <v>0</v>
      </c>
      <c r="H1066" s="384">
        <v>0</v>
      </c>
      <c r="I1066" s="384">
        <v>0</v>
      </c>
      <c r="J1066" s="383">
        <v>2776</v>
      </c>
      <c r="K1066" s="383">
        <v>2781</v>
      </c>
    </row>
    <row r="1067" spans="1:11" x14ac:dyDescent="0.3">
      <c r="A1067" t="s">
        <v>2223</v>
      </c>
      <c r="B1067" t="s">
        <v>3138</v>
      </c>
      <c r="C1067" t="s">
        <v>3155</v>
      </c>
      <c r="D1067" s="383">
        <v>4124</v>
      </c>
      <c r="E1067" s="384">
        <v>633550752.89999998</v>
      </c>
      <c r="F1067" s="384">
        <v>0</v>
      </c>
      <c r="G1067" s="384">
        <v>0</v>
      </c>
      <c r="H1067" s="384">
        <v>0</v>
      </c>
      <c r="I1067" s="384">
        <v>0</v>
      </c>
      <c r="J1067" s="383">
        <v>3978</v>
      </c>
      <c r="K1067" s="383">
        <v>3984</v>
      </c>
    </row>
    <row r="1068" spans="1:11" x14ac:dyDescent="0.3">
      <c r="A1068" t="s">
        <v>2223</v>
      </c>
      <c r="B1068" t="s">
        <v>3138</v>
      </c>
      <c r="C1068" t="s">
        <v>3156</v>
      </c>
      <c r="D1068" s="383">
        <v>5159</v>
      </c>
      <c r="E1068" s="384">
        <v>817345426</v>
      </c>
      <c r="F1068" s="384">
        <v>0</v>
      </c>
      <c r="G1068" s="384">
        <v>0</v>
      </c>
      <c r="H1068" s="384">
        <v>0</v>
      </c>
      <c r="I1068" s="384">
        <v>0</v>
      </c>
      <c r="J1068" s="383">
        <v>4975</v>
      </c>
      <c r="K1068" s="383">
        <v>4993</v>
      </c>
    </row>
    <row r="1069" spans="1:11" x14ac:dyDescent="0.3">
      <c r="A1069" t="s">
        <v>2223</v>
      </c>
      <c r="B1069" t="s">
        <v>3138</v>
      </c>
      <c r="C1069" t="s">
        <v>3157</v>
      </c>
      <c r="D1069" s="383">
        <v>3944</v>
      </c>
      <c r="E1069" s="384">
        <v>293579678.56999999</v>
      </c>
      <c r="F1069" s="384">
        <v>0</v>
      </c>
      <c r="G1069" s="384">
        <v>0</v>
      </c>
      <c r="H1069" s="384">
        <v>0</v>
      </c>
      <c r="I1069" s="384">
        <v>0</v>
      </c>
      <c r="J1069" s="383">
        <v>3740</v>
      </c>
      <c r="K1069" s="383">
        <v>3743</v>
      </c>
    </row>
    <row r="1070" spans="1:11" x14ac:dyDescent="0.3">
      <c r="A1070" t="s">
        <v>2223</v>
      </c>
      <c r="B1070" t="s">
        <v>3138</v>
      </c>
      <c r="C1070" t="s">
        <v>3158</v>
      </c>
      <c r="D1070" s="383">
        <v>2374</v>
      </c>
      <c r="E1070" s="384">
        <v>254320000.72999999</v>
      </c>
      <c r="F1070" s="384">
        <v>0</v>
      </c>
      <c r="G1070" s="384">
        <v>0</v>
      </c>
      <c r="H1070" s="384">
        <v>0</v>
      </c>
      <c r="I1070" s="384">
        <v>0</v>
      </c>
      <c r="J1070" s="383">
        <v>2207</v>
      </c>
      <c r="K1070" s="383">
        <v>2209</v>
      </c>
    </row>
    <row r="1071" spans="1:11" x14ac:dyDescent="0.3">
      <c r="A1071" t="s">
        <v>2223</v>
      </c>
      <c r="B1071" t="s">
        <v>3138</v>
      </c>
      <c r="C1071" t="s">
        <v>3159</v>
      </c>
      <c r="D1071" s="383">
        <v>3049</v>
      </c>
      <c r="E1071" s="384">
        <v>375155053.61000001</v>
      </c>
      <c r="F1071" s="384">
        <v>0</v>
      </c>
      <c r="G1071" s="384">
        <v>0</v>
      </c>
      <c r="H1071" s="384">
        <v>0</v>
      </c>
      <c r="I1071" s="384">
        <v>0</v>
      </c>
      <c r="J1071" s="383">
        <v>2849</v>
      </c>
      <c r="K1071" s="383">
        <v>2848</v>
      </c>
    </row>
    <row r="1072" spans="1:11" x14ac:dyDescent="0.3">
      <c r="A1072" t="s">
        <v>2223</v>
      </c>
      <c r="B1072" t="s">
        <v>3138</v>
      </c>
      <c r="C1072" t="s">
        <v>3160</v>
      </c>
      <c r="D1072" s="383">
        <v>3591</v>
      </c>
      <c r="E1072" s="384">
        <v>454131247.70999998</v>
      </c>
      <c r="F1072" s="384">
        <v>0</v>
      </c>
      <c r="G1072" s="384">
        <v>0</v>
      </c>
      <c r="H1072" s="384">
        <v>0</v>
      </c>
      <c r="I1072" s="384">
        <v>0</v>
      </c>
      <c r="J1072" s="383">
        <v>3335</v>
      </c>
      <c r="K1072" s="383">
        <v>3338</v>
      </c>
    </row>
    <row r="1073" spans="1:11" x14ac:dyDescent="0.3">
      <c r="A1073" t="s">
        <v>2223</v>
      </c>
      <c r="B1073" t="s">
        <v>3138</v>
      </c>
      <c r="C1073" t="s">
        <v>3161</v>
      </c>
      <c r="D1073" s="383">
        <v>5116</v>
      </c>
      <c r="E1073" s="384">
        <v>669764697.32000005</v>
      </c>
      <c r="F1073" s="384">
        <v>0</v>
      </c>
      <c r="G1073" s="384">
        <v>0</v>
      </c>
      <c r="H1073" s="384">
        <v>0</v>
      </c>
      <c r="I1073" s="384">
        <v>0</v>
      </c>
      <c r="J1073" s="383">
        <v>4766</v>
      </c>
      <c r="K1073" s="383">
        <v>4776</v>
      </c>
    </row>
    <row r="1074" spans="1:11" x14ac:dyDescent="0.3">
      <c r="A1074" t="s">
        <v>2223</v>
      </c>
      <c r="B1074" t="s">
        <v>3138</v>
      </c>
      <c r="C1074" t="s">
        <v>3162</v>
      </c>
      <c r="D1074" s="383">
        <v>3674</v>
      </c>
      <c r="E1074" s="384">
        <v>534900351.07999998</v>
      </c>
      <c r="F1074" s="384">
        <v>0</v>
      </c>
      <c r="G1074" s="384">
        <v>0</v>
      </c>
      <c r="H1074" s="384">
        <v>0</v>
      </c>
      <c r="I1074" s="384">
        <v>0</v>
      </c>
      <c r="J1074" s="383">
        <v>3447</v>
      </c>
      <c r="K1074" s="383">
        <v>3451</v>
      </c>
    </row>
    <row r="1075" spans="1:11" x14ac:dyDescent="0.3">
      <c r="A1075" t="s">
        <v>2223</v>
      </c>
      <c r="B1075" t="s">
        <v>3138</v>
      </c>
      <c r="C1075" t="s">
        <v>3163</v>
      </c>
      <c r="D1075" s="383">
        <v>4677</v>
      </c>
      <c r="E1075" s="384">
        <v>689551520.39999998</v>
      </c>
      <c r="F1075" s="384">
        <v>0</v>
      </c>
      <c r="G1075" s="384">
        <v>0</v>
      </c>
      <c r="H1075" s="384">
        <v>0</v>
      </c>
      <c r="I1075" s="384">
        <v>0</v>
      </c>
      <c r="J1075" s="383">
        <v>4378</v>
      </c>
      <c r="K1075" s="383">
        <v>4387</v>
      </c>
    </row>
    <row r="1076" spans="1:11" x14ac:dyDescent="0.3">
      <c r="A1076" t="s">
        <v>2223</v>
      </c>
      <c r="B1076" t="s">
        <v>3138</v>
      </c>
      <c r="C1076" t="s">
        <v>3164</v>
      </c>
      <c r="D1076" s="383">
        <v>6623</v>
      </c>
      <c r="E1076" s="384">
        <v>1013989352</v>
      </c>
      <c r="F1076" s="384">
        <v>0</v>
      </c>
      <c r="G1076" s="384">
        <v>0</v>
      </c>
      <c r="H1076" s="384">
        <v>0</v>
      </c>
      <c r="I1076" s="384">
        <v>0</v>
      </c>
      <c r="J1076" s="383">
        <v>6280</v>
      </c>
      <c r="K1076" s="383">
        <v>6301</v>
      </c>
    </row>
    <row r="1077" spans="1:11" x14ac:dyDescent="0.3">
      <c r="A1077" t="s">
        <v>2223</v>
      </c>
      <c r="B1077" t="s">
        <v>3138</v>
      </c>
      <c r="C1077" t="s">
        <v>3165</v>
      </c>
      <c r="D1077" s="383">
        <v>4259</v>
      </c>
      <c r="E1077" s="384">
        <v>667019519.24000001</v>
      </c>
      <c r="F1077" s="384">
        <v>0</v>
      </c>
      <c r="G1077" s="384">
        <v>0</v>
      </c>
      <c r="H1077" s="384">
        <v>0</v>
      </c>
      <c r="I1077" s="384">
        <v>0</v>
      </c>
      <c r="J1077" s="383">
        <v>4080</v>
      </c>
      <c r="K1077" s="383">
        <v>4099</v>
      </c>
    </row>
    <row r="1078" spans="1:11" x14ac:dyDescent="0.3">
      <c r="A1078" t="s">
        <v>2223</v>
      </c>
      <c r="B1078" t="s">
        <v>3138</v>
      </c>
      <c r="C1078" t="s">
        <v>3166</v>
      </c>
      <c r="D1078" s="383">
        <v>19612</v>
      </c>
      <c r="E1078" s="384">
        <v>1414392762.8900001</v>
      </c>
      <c r="F1078" s="384">
        <v>0</v>
      </c>
      <c r="G1078" s="384">
        <v>0</v>
      </c>
      <c r="H1078" s="384">
        <v>0</v>
      </c>
      <c r="I1078" s="384">
        <v>0</v>
      </c>
      <c r="J1078" s="383">
        <v>19307</v>
      </c>
      <c r="K1078" s="383">
        <v>19360</v>
      </c>
    </row>
    <row r="1079" spans="1:11" x14ac:dyDescent="0.3">
      <c r="A1079" t="s">
        <v>2223</v>
      </c>
      <c r="B1079" t="s">
        <v>3138</v>
      </c>
      <c r="C1079" t="s">
        <v>3167</v>
      </c>
      <c r="D1079" s="383">
        <v>11041</v>
      </c>
      <c r="E1079" s="384">
        <v>1230144675.6300001</v>
      </c>
      <c r="F1079" s="384">
        <v>0</v>
      </c>
      <c r="G1079" s="384">
        <v>0</v>
      </c>
      <c r="H1079" s="384">
        <v>0</v>
      </c>
      <c r="I1079" s="384">
        <v>0</v>
      </c>
      <c r="J1079" s="383">
        <v>10689</v>
      </c>
      <c r="K1079" s="383">
        <v>10720</v>
      </c>
    </row>
    <row r="1080" spans="1:11" x14ac:dyDescent="0.3">
      <c r="A1080" t="s">
        <v>2223</v>
      </c>
      <c r="B1080" t="s">
        <v>3138</v>
      </c>
      <c r="C1080" t="s">
        <v>3168</v>
      </c>
      <c r="D1080" s="383">
        <v>14946</v>
      </c>
      <c r="E1080" s="384">
        <v>1831932320.1600001</v>
      </c>
      <c r="F1080" s="384">
        <v>0</v>
      </c>
      <c r="G1080" s="384">
        <v>0</v>
      </c>
      <c r="H1080" s="384">
        <v>0</v>
      </c>
      <c r="I1080" s="384">
        <v>0</v>
      </c>
      <c r="J1080" s="383">
        <v>14362</v>
      </c>
      <c r="K1080" s="383">
        <v>14413</v>
      </c>
    </row>
    <row r="1081" spans="1:11" x14ac:dyDescent="0.3">
      <c r="A1081" t="s">
        <v>2223</v>
      </c>
      <c r="B1081" t="s">
        <v>3138</v>
      </c>
      <c r="C1081" t="s">
        <v>3169</v>
      </c>
      <c r="D1081" s="383">
        <v>19377</v>
      </c>
      <c r="E1081" s="384">
        <v>2499595097.0300002</v>
      </c>
      <c r="F1081" s="384">
        <v>0</v>
      </c>
      <c r="G1081" s="384">
        <v>0</v>
      </c>
      <c r="H1081" s="384">
        <v>0</v>
      </c>
      <c r="I1081" s="384">
        <v>0</v>
      </c>
      <c r="J1081" s="383">
        <v>18576</v>
      </c>
      <c r="K1081" s="383">
        <v>18665</v>
      </c>
    </row>
    <row r="1082" spans="1:11" x14ac:dyDescent="0.3">
      <c r="A1082" t="s">
        <v>2223</v>
      </c>
      <c r="B1082" t="s">
        <v>3138</v>
      </c>
      <c r="C1082" t="s">
        <v>3170</v>
      </c>
      <c r="D1082" s="383">
        <v>31766</v>
      </c>
      <c r="E1082" s="384">
        <v>4281985377.1700001</v>
      </c>
      <c r="F1082" s="384">
        <v>0</v>
      </c>
      <c r="G1082" s="384">
        <v>0</v>
      </c>
      <c r="H1082" s="384">
        <v>0</v>
      </c>
      <c r="I1082" s="384">
        <v>0</v>
      </c>
      <c r="J1082" s="383">
        <v>30150</v>
      </c>
      <c r="K1082" s="383">
        <v>30435</v>
      </c>
    </row>
    <row r="1083" spans="1:11" x14ac:dyDescent="0.3">
      <c r="A1083" t="s">
        <v>2223</v>
      </c>
      <c r="B1083" t="s">
        <v>3138</v>
      </c>
      <c r="C1083" t="s">
        <v>3171</v>
      </c>
      <c r="D1083" s="383">
        <v>24371</v>
      </c>
      <c r="E1083" s="384">
        <v>3630315866.8899999</v>
      </c>
      <c r="F1083" s="384">
        <v>0</v>
      </c>
      <c r="G1083" s="384">
        <v>0</v>
      </c>
      <c r="H1083" s="384">
        <v>0</v>
      </c>
      <c r="I1083" s="384">
        <v>0</v>
      </c>
      <c r="J1083" s="383">
        <v>23121</v>
      </c>
      <c r="K1083" s="383">
        <v>23286</v>
      </c>
    </row>
    <row r="1084" spans="1:11" x14ac:dyDescent="0.3">
      <c r="A1084" t="s">
        <v>2223</v>
      </c>
      <c r="B1084" t="s">
        <v>3138</v>
      </c>
      <c r="C1084" t="s">
        <v>3172</v>
      </c>
      <c r="D1084" s="383">
        <v>29447</v>
      </c>
      <c r="E1084" s="384">
        <v>4636997777.71</v>
      </c>
      <c r="F1084" s="384">
        <v>0</v>
      </c>
      <c r="G1084" s="384">
        <v>0</v>
      </c>
      <c r="H1084" s="384">
        <v>0</v>
      </c>
      <c r="I1084" s="384">
        <v>0</v>
      </c>
      <c r="J1084" s="383">
        <v>27682</v>
      </c>
      <c r="K1084" s="383">
        <v>27823</v>
      </c>
    </row>
    <row r="1085" spans="1:11" x14ac:dyDescent="0.3">
      <c r="A1085" t="s">
        <v>2223</v>
      </c>
      <c r="B1085" t="s">
        <v>3138</v>
      </c>
      <c r="C1085" t="s">
        <v>3173</v>
      </c>
      <c r="D1085" s="383">
        <v>18395</v>
      </c>
      <c r="E1085" s="384">
        <v>2901615036.5999999</v>
      </c>
      <c r="F1085" s="384">
        <v>0</v>
      </c>
      <c r="G1085" s="384">
        <v>0</v>
      </c>
      <c r="H1085" s="384">
        <v>0</v>
      </c>
      <c r="I1085" s="384">
        <v>0</v>
      </c>
      <c r="J1085" s="383">
        <v>17473</v>
      </c>
      <c r="K1085" s="383">
        <v>17557</v>
      </c>
    </row>
    <row r="1086" spans="1:11" x14ac:dyDescent="0.3">
      <c r="A1086" t="s">
        <v>2223</v>
      </c>
      <c r="B1086" t="s">
        <v>3138</v>
      </c>
      <c r="C1086" t="s">
        <v>3174</v>
      </c>
      <c r="D1086" s="383">
        <v>4932</v>
      </c>
      <c r="E1086" s="384">
        <v>777693187.41999996</v>
      </c>
      <c r="F1086" s="384">
        <v>0</v>
      </c>
      <c r="G1086" s="384">
        <v>0</v>
      </c>
      <c r="H1086" s="384">
        <v>0</v>
      </c>
      <c r="I1086" s="384">
        <v>0</v>
      </c>
      <c r="J1086" s="383">
        <v>4795</v>
      </c>
      <c r="K1086" s="383">
        <v>4809</v>
      </c>
    </row>
    <row r="1087" spans="1:11" x14ac:dyDescent="0.3">
      <c r="A1087" t="s">
        <v>2223</v>
      </c>
      <c r="B1087" t="s">
        <v>3138</v>
      </c>
      <c r="C1087" t="s">
        <v>3175</v>
      </c>
      <c r="D1087" s="383">
        <v>237907</v>
      </c>
      <c r="E1087" s="384">
        <v>7898525115.8999996</v>
      </c>
      <c r="F1087" s="384">
        <v>0</v>
      </c>
      <c r="G1087" s="384">
        <v>0</v>
      </c>
      <c r="H1087" s="384">
        <v>0</v>
      </c>
      <c r="I1087" s="384">
        <v>0</v>
      </c>
      <c r="J1087" s="383">
        <v>213728</v>
      </c>
      <c r="K1087" s="383">
        <v>219409</v>
      </c>
    </row>
    <row r="1088" spans="1:11" x14ac:dyDescent="0.3">
      <c r="A1088" t="s">
        <v>2223</v>
      </c>
      <c r="B1088" t="s">
        <v>3138</v>
      </c>
      <c r="C1088" t="s">
        <v>3176</v>
      </c>
      <c r="D1088" s="383">
        <v>83790</v>
      </c>
      <c r="E1088" s="384">
        <v>5329215037.5100002</v>
      </c>
      <c r="F1088" s="384">
        <v>0</v>
      </c>
      <c r="G1088" s="384">
        <v>0</v>
      </c>
      <c r="H1088" s="384">
        <v>0</v>
      </c>
      <c r="I1088" s="384">
        <v>0</v>
      </c>
      <c r="J1088" s="383">
        <v>72397</v>
      </c>
      <c r="K1088" s="383">
        <v>73465</v>
      </c>
    </row>
    <row r="1089" spans="1:11" x14ac:dyDescent="0.3">
      <c r="A1089" t="s">
        <v>2223</v>
      </c>
      <c r="B1089" t="s">
        <v>3138</v>
      </c>
      <c r="C1089" t="s">
        <v>3177</v>
      </c>
      <c r="D1089" s="383">
        <v>97901</v>
      </c>
      <c r="E1089" s="384">
        <v>7320083710.7200003</v>
      </c>
      <c r="F1089" s="384">
        <v>0</v>
      </c>
      <c r="G1089" s="384">
        <v>0</v>
      </c>
      <c r="H1089" s="384">
        <v>0</v>
      </c>
      <c r="I1089" s="384">
        <v>0</v>
      </c>
      <c r="J1089" s="383">
        <v>82888</v>
      </c>
      <c r="K1089" s="383">
        <v>84203</v>
      </c>
    </row>
    <row r="1090" spans="1:11" x14ac:dyDescent="0.3">
      <c r="A1090" t="s">
        <v>2223</v>
      </c>
      <c r="B1090" t="s">
        <v>3138</v>
      </c>
      <c r="C1090" t="s">
        <v>3178</v>
      </c>
      <c r="D1090" s="383">
        <v>107360</v>
      </c>
      <c r="E1090" s="384">
        <v>9242182079.7600002</v>
      </c>
      <c r="F1090" s="384">
        <v>0</v>
      </c>
      <c r="G1090" s="384">
        <v>0</v>
      </c>
      <c r="H1090" s="384">
        <v>0</v>
      </c>
      <c r="I1090" s="384">
        <v>0</v>
      </c>
      <c r="J1090" s="383">
        <v>89484</v>
      </c>
      <c r="K1090" s="383">
        <v>91183</v>
      </c>
    </row>
    <row r="1091" spans="1:11" x14ac:dyDescent="0.3">
      <c r="A1091" t="s">
        <v>2223</v>
      </c>
      <c r="B1091" t="s">
        <v>3138</v>
      </c>
      <c r="C1091" t="s">
        <v>3179</v>
      </c>
      <c r="D1091" s="383">
        <v>111260</v>
      </c>
      <c r="E1091" s="384">
        <v>11526037013.280001</v>
      </c>
      <c r="F1091" s="384">
        <v>0</v>
      </c>
      <c r="G1091" s="384">
        <v>0</v>
      </c>
      <c r="H1091" s="384">
        <v>0</v>
      </c>
      <c r="I1091" s="384">
        <v>0</v>
      </c>
      <c r="J1091" s="383">
        <v>92814</v>
      </c>
      <c r="K1091" s="383">
        <v>94465</v>
      </c>
    </row>
    <row r="1092" spans="1:11" x14ac:dyDescent="0.3">
      <c r="A1092" t="s">
        <v>2223</v>
      </c>
      <c r="B1092" t="s">
        <v>3138</v>
      </c>
      <c r="C1092" t="s">
        <v>3180</v>
      </c>
      <c r="D1092" s="383">
        <v>45494</v>
      </c>
      <c r="E1092" s="384">
        <v>5550072325.5799999</v>
      </c>
      <c r="F1092" s="384">
        <v>0</v>
      </c>
      <c r="G1092" s="384">
        <v>0</v>
      </c>
      <c r="H1092" s="384">
        <v>0</v>
      </c>
      <c r="I1092" s="384">
        <v>0</v>
      </c>
      <c r="J1092" s="383">
        <v>39837</v>
      </c>
      <c r="K1092" s="383">
        <v>40112</v>
      </c>
    </row>
    <row r="1093" spans="1:11" x14ac:dyDescent="0.3">
      <c r="A1093" t="s">
        <v>2223</v>
      </c>
      <c r="B1093" t="s">
        <v>3138</v>
      </c>
      <c r="C1093" t="s">
        <v>3181</v>
      </c>
      <c r="D1093" s="383">
        <v>27368</v>
      </c>
      <c r="E1093" s="384">
        <v>3465656585.1900001</v>
      </c>
      <c r="F1093" s="384">
        <v>0</v>
      </c>
      <c r="G1093" s="384">
        <v>0</v>
      </c>
      <c r="H1093" s="384">
        <v>0</v>
      </c>
      <c r="I1093" s="384">
        <v>0</v>
      </c>
      <c r="J1093" s="383">
        <v>24513</v>
      </c>
      <c r="K1093" s="383">
        <v>24589</v>
      </c>
    </row>
    <row r="1094" spans="1:11" x14ac:dyDescent="0.3">
      <c r="A1094" t="s">
        <v>2223</v>
      </c>
      <c r="B1094" t="s">
        <v>3138</v>
      </c>
      <c r="C1094" t="s">
        <v>3182</v>
      </c>
      <c r="D1094" s="383">
        <v>7958</v>
      </c>
      <c r="E1094" s="384">
        <v>1032595407</v>
      </c>
      <c r="F1094" s="384">
        <v>0</v>
      </c>
      <c r="G1094" s="384">
        <v>0</v>
      </c>
      <c r="H1094" s="384">
        <v>0</v>
      </c>
      <c r="I1094" s="384">
        <v>0</v>
      </c>
      <c r="J1094" s="383">
        <v>7405</v>
      </c>
      <c r="K1094" s="383">
        <v>7429</v>
      </c>
    </row>
    <row r="1095" spans="1:11" x14ac:dyDescent="0.3">
      <c r="A1095" t="s">
        <v>2223</v>
      </c>
      <c r="B1095" t="s">
        <v>3138</v>
      </c>
      <c r="C1095" t="s">
        <v>3183</v>
      </c>
      <c r="D1095" s="383">
        <v>981</v>
      </c>
      <c r="E1095" s="384">
        <v>135813346.09</v>
      </c>
      <c r="F1095" s="384">
        <v>0</v>
      </c>
      <c r="G1095" s="384">
        <v>0</v>
      </c>
      <c r="H1095" s="384">
        <v>0</v>
      </c>
      <c r="I1095" s="384">
        <v>0</v>
      </c>
      <c r="J1095" s="383">
        <v>956</v>
      </c>
      <c r="K1095" s="383">
        <v>958</v>
      </c>
    </row>
    <row r="1096" spans="1:11" x14ac:dyDescent="0.3">
      <c r="A1096" t="s">
        <v>2223</v>
      </c>
      <c r="B1096" t="s">
        <v>3184</v>
      </c>
      <c r="C1096" t="s">
        <v>3185</v>
      </c>
      <c r="D1096" s="383">
        <v>971224</v>
      </c>
      <c r="E1096" s="384">
        <v>83661129937.979996</v>
      </c>
      <c r="F1096" s="384">
        <v>3</v>
      </c>
      <c r="G1096" s="384">
        <v>538078.18999999994</v>
      </c>
      <c r="H1096" s="384">
        <v>150829.16</v>
      </c>
      <c r="I1096" s="384">
        <v>86139.89</v>
      </c>
      <c r="J1096" s="383">
        <v>823879</v>
      </c>
      <c r="K1096" s="383">
        <v>876017</v>
      </c>
    </row>
    <row r="1097" spans="1:11" x14ac:dyDescent="0.3">
      <c r="A1097" t="s">
        <v>2223</v>
      </c>
      <c r="B1097" t="s">
        <v>3184</v>
      </c>
      <c r="C1097" t="s">
        <v>3186</v>
      </c>
      <c r="D1097" s="383">
        <v>971224</v>
      </c>
      <c r="E1097" s="384">
        <v>91506657.260000005</v>
      </c>
      <c r="F1097" s="384">
        <v>1</v>
      </c>
      <c r="G1097" s="384">
        <v>325.8</v>
      </c>
      <c r="H1097" s="384">
        <v>74.58</v>
      </c>
      <c r="I1097" s="384">
        <v>94.21</v>
      </c>
      <c r="J1097" s="383">
        <v>823879</v>
      </c>
      <c r="K1097" s="383">
        <v>876017</v>
      </c>
    </row>
    <row r="1098" spans="1:11" x14ac:dyDescent="0.3">
      <c r="A1098" t="s">
        <v>2223</v>
      </c>
      <c r="B1098" t="s">
        <v>3184</v>
      </c>
      <c r="C1098" t="s">
        <v>3187</v>
      </c>
      <c r="D1098" s="383">
        <v>971224</v>
      </c>
      <c r="E1098" s="384">
        <v>131154206.27</v>
      </c>
      <c r="F1098" s="384">
        <v>1</v>
      </c>
      <c r="G1098" s="384">
        <v>356.19</v>
      </c>
      <c r="H1098" s="384">
        <v>179.33</v>
      </c>
      <c r="I1098" s="384">
        <v>135.04</v>
      </c>
      <c r="J1098" s="383">
        <v>823879</v>
      </c>
      <c r="K1098" s="383">
        <v>876017</v>
      </c>
    </row>
    <row r="1099" spans="1:11" x14ac:dyDescent="0.3">
      <c r="A1099" t="s">
        <v>2225</v>
      </c>
      <c r="B1099" t="s">
        <v>3184</v>
      </c>
      <c r="C1099" t="s">
        <v>3188</v>
      </c>
      <c r="D1099" s="383">
        <v>127339</v>
      </c>
      <c r="E1099" s="384">
        <v>80563.91</v>
      </c>
      <c r="F1099" s="384">
        <v>0</v>
      </c>
      <c r="G1099" s="384">
        <v>1.1200000000000001</v>
      </c>
      <c r="H1099" s="384">
        <v>0.69</v>
      </c>
      <c r="I1099" s="384">
        <v>0.63</v>
      </c>
      <c r="J1099" s="383">
        <v>104389</v>
      </c>
      <c r="K1099" s="383">
        <v>105132</v>
      </c>
    </row>
    <row r="1100" spans="1:11" x14ac:dyDescent="0.3">
      <c r="A1100" t="s">
        <v>2223</v>
      </c>
      <c r="B1100" t="s">
        <v>3184</v>
      </c>
      <c r="C1100" t="s">
        <v>3188</v>
      </c>
      <c r="D1100" s="383">
        <v>971224</v>
      </c>
      <c r="E1100" s="384">
        <v>482774.22</v>
      </c>
      <c r="F1100" s="384">
        <v>0</v>
      </c>
      <c r="G1100" s="384">
        <v>1.1299999999999999</v>
      </c>
      <c r="H1100" s="384">
        <v>0.61</v>
      </c>
      <c r="I1100" s="384">
        <v>0.49</v>
      </c>
      <c r="J1100" s="383">
        <v>823879</v>
      </c>
      <c r="K1100" s="383">
        <v>876017</v>
      </c>
    </row>
    <row r="1101" spans="1:11" x14ac:dyDescent="0.3">
      <c r="A1101" t="s">
        <v>2225</v>
      </c>
      <c r="B1101" t="s">
        <v>3184</v>
      </c>
      <c r="C1101" t="s">
        <v>3189</v>
      </c>
      <c r="D1101" s="383">
        <v>127339</v>
      </c>
      <c r="E1101" s="384">
        <v>87855.67</v>
      </c>
      <c r="F1101" s="384">
        <v>0</v>
      </c>
      <c r="G1101" s="384">
        <v>0.99</v>
      </c>
      <c r="H1101" s="384">
        <v>0.73</v>
      </c>
      <c r="I1101" s="384">
        <v>0.68</v>
      </c>
      <c r="J1101" s="383">
        <v>104389</v>
      </c>
      <c r="K1101" s="383">
        <v>105132</v>
      </c>
    </row>
    <row r="1102" spans="1:11" x14ac:dyDescent="0.3">
      <c r="A1102" t="s">
        <v>2223</v>
      </c>
      <c r="B1102" t="s">
        <v>3184</v>
      </c>
      <c r="C1102" t="s">
        <v>3189</v>
      </c>
      <c r="D1102" s="383">
        <v>971224</v>
      </c>
      <c r="E1102" s="384">
        <v>546324.39</v>
      </c>
      <c r="F1102" s="384">
        <v>0</v>
      </c>
      <c r="G1102" s="384">
        <v>1</v>
      </c>
      <c r="H1102" s="384">
        <v>0.67</v>
      </c>
      <c r="I1102" s="384">
        <v>0.56000000000000005</v>
      </c>
      <c r="J1102" s="383">
        <v>823879</v>
      </c>
      <c r="K1102" s="383">
        <v>876017</v>
      </c>
    </row>
    <row r="1103" spans="1:11" x14ac:dyDescent="0.3">
      <c r="A1103" t="s">
        <v>2223</v>
      </c>
      <c r="B1103" t="s">
        <v>3184</v>
      </c>
      <c r="C1103" t="s">
        <v>3190</v>
      </c>
      <c r="D1103" s="383">
        <v>971224</v>
      </c>
      <c r="E1103" s="384">
        <v>85203085642.220001</v>
      </c>
      <c r="F1103" s="384">
        <v>0</v>
      </c>
      <c r="G1103" s="384">
        <v>637360.49</v>
      </c>
      <c r="H1103" s="384">
        <v>1.61</v>
      </c>
      <c r="I1103" s="384">
        <v>87727.53</v>
      </c>
      <c r="J1103" s="383">
        <v>823879</v>
      </c>
      <c r="K1103" s="383">
        <v>876017</v>
      </c>
    </row>
    <row r="1104" spans="1:11" x14ac:dyDescent="0.3">
      <c r="A1104" t="s">
        <v>2223</v>
      </c>
      <c r="B1104" t="s">
        <v>3184</v>
      </c>
      <c r="C1104" t="s">
        <v>3191</v>
      </c>
      <c r="D1104" s="383">
        <v>971224</v>
      </c>
      <c r="E1104" s="384">
        <v>216592.21</v>
      </c>
      <c r="F1104" s="384">
        <v>0</v>
      </c>
      <c r="G1104" s="384">
        <v>4453.45</v>
      </c>
      <c r="H1104" s="384">
        <v>0.1</v>
      </c>
      <c r="I1104" s="384">
        <v>0.22</v>
      </c>
      <c r="J1104" s="383">
        <v>823879</v>
      </c>
      <c r="K1104" s="383">
        <v>876017</v>
      </c>
    </row>
    <row r="1105" spans="1:11" x14ac:dyDescent="0.3">
      <c r="A1105" t="s">
        <v>2223</v>
      </c>
      <c r="B1105" t="s">
        <v>3184</v>
      </c>
      <c r="C1105" t="s">
        <v>3192</v>
      </c>
      <c r="D1105" s="383">
        <v>971224</v>
      </c>
      <c r="E1105" s="384">
        <v>0</v>
      </c>
      <c r="F1105" s="384">
        <v>0</v>
      </c>
      <c r="G1105" s="384">
        <v>0</v>
      </c>
      <c r="H1105" s="384">
        <v>0</v>
      </c>
      <c r="I1105" s="384">
        <v>0</v>
      </c>
      <c r="J1105" s="383">
        <v>823879</v>
      </c>
      <c r="K1105" s="383">
        <v>876017</v>
      </c>
    </row>
    <row r="1106" spans="1:11" x14ac:dyDescent="0.3">
      <c r="A1106" t="s">
        <v>2223</v>
      </c>
      <c r="B1106" t="s">
        <v>3184</v>
      </c>
      <c r="C1106" t="s">
        <v>3193</v>
      </c>
      <c r="D1106" s="383">
        <v>971224</v>
      </c>
      <c r="E1106" s="384">
        <v>7865264.75</v>
      </c>
      <c r="F1106" s="384">
        <v>0</v>
      </c>
      <c r="G1106" s="384">
        <v>172405.21</v>
      </c>
      <c r="H1106" s="384">
        <v>0.62</v>
      </c>
      <c r="I1106" s="384">
        <v>1.5</v>
      </c>
      <c r="J1106" s="383">
        <v>823879</v>
      </c>
      <c r="K1106" s="383">
        <v>876017</v>
      </c>
    </row>
    <row r="1107" spans="1:11" x14ac:dyDescent="0.3">
      <c r="A1107" t="s">
        <v>2223</v>
      </c>
      <c r="B1107" t="s">
        <v>3184</v>
      </c>
      <c r="C1107" t="s">
        <v>3194</v>
      </c>
      <c r="D1107" s="383">
        <v>971224</v>
      </c>
      <c r="E1107" s="384">
        <v>7865264.75</v>
      </c>
      <c r="F1107" s="384">
        <v>0</v>
      </c>
      <c r="G1107" s="384">
        <v>172405.21</v>
      </c>
      <c r="H1107" s="384">
        <v>2.75</v>
      </c>
      <c r="I1107" s="384">
        <v>1.5</v>
      </c>
      <c r="J1107" s="383">
        <v>823879</v>
      </c>
      <c r="K1107" s="383">
        <v>876017</v>
      </c>
    </row>
    <row r="1108" spans="1:11" x14ac:dyDescent="0.3">
      <c r="A1108" t="s">
        <v>2223</v>
      </c>
      <c r="B1108" t="s">
        <v>3184</v>
      </c>
      <c r="C1108" t="s">
        <v>3195</v>
      </c>
      <c r="D1108" s="383">
        <v>971224</v>
      </c>
      <c r="E1108" s="384">
        <v>69899502863.300003</v>
      </c>
      <c r="F1108" s="384">
        <v>2.4</v>
      </c>
      <c r="G1108" s="384">
        <v>538078.18999999994</v>
      </c>
      <c r="H1108" s="384">
        <v>127327.18</v>
      </c>
      <c r="I1108" s="384">
        <v>71970.52</v>
      </c>
      <c r="J1108" s="383">
        <v>823879</v>
      </c>
      <c r="K1108" s="383">
        <v>876017</v>
      </c>
    </row>
    <row r="1109" spans="1:11" x14ac:dyDescent="0.3">
      <c r="A1109" t="s">
        <v>2225</v>
      </c>
      <c r="B1109" t="s">
        <v>3184</v>
      </c>
      <c r="C1109" t="s">
        <v>2224</v>
      </c>
      <c r="D1109" s="383">
        <v>127339</v>
      </c>
      <c r="E1109" s="384">
        <v>14764685717.42</v>
      </c>
      <c r="F1109" s="384">
        <v>76.260000000000005</v>
      </c>
      <c r="G1109" s="384">
        <v>586319.6</v>
      </c>
      <c r="H1109" s="384">
        <v>177128.05</v>
      </c>
      <c r="I1109" s="384">
        <v>115947.86</v>
      </c>
      <c r="J1109" s="383">
        <v>104389</v>
      </c>
      <c r="K1109" s="383">
        <v>105132</v>
      </c>
    </row>
    <row r="1110" spans="1:11" x14ac:dyDescent="0.3">
      <c r="A1110" t="s">
        <v>2223</v>
      </c>
      <c r="B1110" t="s">
        <v>3184</v>
      </c>
      <c r="C1110" t="s">
        <v>2224</v>
      </c>
      <c r="D1110" s="383">
        <v>971224</v>
      </c>
      <c r="E1110" s="384">
        <v>85276066473.039993</v>
      </c>
      <c r="F1110" s="384">
        <v>3</v>
      </c>
      <c r="G1110" s="384">
        <v>637360.49</v>
      </c>
      <c r="H1110" s="384">
        <v>156053.73000000001</v>
      </c>
      <c r="I1110" s="384">
        <v>87802.67</v>
      </c>
      <c r="J1110" s="383">
        <v>823879</v>
      </c>
      <c r="K1110" s="383">
        <v>876017</v>
      </c>
    </row>
    <row r="1111" spans="1:11" x14ac:dyDescent="0.3">
      <c r="A1111" t="s">
        <v>2223</v>
      </c>
      <c r="B1111" t="s">
        <v>3184</v>
      </c>
      <c r="C1111" t="s">
        <v>3196</v>
      </c>
      <c r="D1111" s="383">
        <v>4969</v>
      </c>
      <c r="E1111" s="384">
        <v>626579151.84000003</v>
      </c>
      <c r="F1111" s="384">
        <v>1028.81</v>
      </c>
      <c r="G1111" s="384">
        <v>527865.43000000005</v>
      </c>
      <c r="H1111" s="384">
        <v>187672.17</v>
      </c>
      <c r="I1111" s="384">
        <v>126097.63</v>
      </c>
      <c r="J1111" s="383">
        <v>4573</v>
      </c>
      <c r="K1111" s="383">
        <v>4707</v>
      </c>
    </row>
    <row r="1112" spans="1:11" x14ac:dyDescent="0.3">
      <c r="A1112" t="s">
        <v>2223</v>
      </c>
      <c r="B1112" t="s">
        <v>3184</v>
      </c>
      <c r="C1112" t="s">
        <v>3197</v>
      </c>
      <c r="H1112" s="384">
        <v>8.16</v>
      </c>
    </row>
    <row r="1113" spans="1:11" x14ac:dyDescent="0.3">
      <c r="A1113" t="s">
        <v>2225</v>
      </c>
      <c r="B1113" t="s">
        <v>3198</v>
      </c>
      <c r="C1113" t="s">
        <v>565</v>
      </c>
      <c r="D1113" s="383">
        <v>14201</v>
      </c>
      <c r="E1113" s="384">
        <v>893618708.71000004</v>
      </c>
      <c r="F1113" s="384">
        <v>0</v>
      </c>
      <c r="G1113" s="384">
        <v>0</v>
      </c>
      <c r="H1113" s="384">
        <v>0</v>
      </c>
      <c r="I1113" s="384">
        <v>0</v>
      </c>
      <c r="J1113" s="383">
        <v>12910</v>
      </c>
      <c r="K1113" s="383">
        <v>12984</v>
      </c>
    </row>
    <row r="1114" spans="1:11" x14ac:dyDescent="0.3">
      <c r="A1114" t="s">
        <v>2223</v>
      </c>
      <c r="B1114" t="s">
        <v>3198</v>
      </c>
      <c r="C1114" t="s">
        <v>565</v>
      </c>
      <c r="D1114" s="383">
        <v>265092</v>
      </c>
      <c r="E1114" s="384">
        <v>9904090313.4799995</v>
      </c>
      <c r="F1114" s="384">
        <v>0</v>
      </c>
      <c r="G1114" s="384">
        <v>0</v>
      </c>
      <c r="H1114" s="384">
        <v>0</v>
      </c>
      <c r="I1114" s="384">
        <v>0</v>
      </c>
      <c r="J1114" s="383">
        <v>239713</v>
      </c>
      <c r="K1114" s="383">
        <v>246032</v>
      </c>
    </row>
    <row r="1115" spans="1:11" x14ac:dyDescent="0.3">
      <c r="A1115" t="s">
        <v>2223</v>
      </c>
      <c r="B1115" t="s">
        <v>3198</v>
      </c>
      <c r="C1115" t="s">
        <v>568</v>
      </c>
      <c r="D1115" s="383">
        <v>99634</v>
      </c>
      <c r="E1115" s="384">
        <v>7096502464.3999996</v>
      </c>
      <c r="F1115" s="384">
        <v>0</v>
      </c>
      <c r="G1115" s="384">
        <v>0</v>
      </c>
      <c r="H1115" s="384">
        <v>0</v>
      </c>
      <c r="I1115" s="384">
        <v>0</v>
      </c>
      <c r="J1115" s="383">
        <v>87503</v>
      </c>
      <c r="K1115" s="383">
        <v>88713</v>
      </c>
    </row>
    <row r="1116" spans="1:11" x14ac:dyDescent="0.3">
      <c r="A1116" t="s">
        <v>2225</v>
      </c>
      <c r="B1116" t="s">
        <v>3198</v>
      </c>
      <c r="C1116" t="s">
        <v>568</v>
      </c>
      <c r="D1116" s="383">
        <v>8043</v>
      </c>
      <c r="E1116" s="384">
        <v>785712292.14999998</v>
      </c>
      <c r="F1116" s="384">
        <v>0</v>
      </c>
      <c r="G1116" s="384">
        <v>0</v>
      </c>
      <c r="H1116" s="384">
        <v>0</v>
      </c>
      <c r="I1116" s="384">
        <v>0</v>
      </c>
      <c r="J1116" s="383">
        <v>6797</v>
      </c>
      <c r="K1116" s="383">
        <v>6805</v>
      </c>
    </row>
    <row r="1117" spans="1:11" x14ac:dyDescent="0.3">
      <c r="A1117" t="s">
        <v>2225</v>
      </c>
      <c r="B1117" t="s">
        <v>3198</v>
      </c>
      <c r="C1117" t="s">
        <v>571</v>
      </c>
      <c r="D1117" s="383">
        <v>11540</v>
      </c>
      <c r="E1117" s="384">
        <v>1214793359.3299999</v>
      </c>
      <c r="F1117" s="384">
        <v>0</v>
      </c>
      <c r="G1117" s="384">
        <v>0</v>
      </c>
      <c r="H1117" s="384">
        <v>0</v>
      </c>
      <c r="I1117" s="384">
        <v>0</v>
      </c>
      <c r="J1117" s="383">
        <v>9270</v>
      </c>
      <c r="K1117" s="383">
        <v>9279</v>
      </c>
    </row>
    <row r="1118" spans="1:11" x14ac:dyDescent="0.3">
      <c r="A1118" t="s">
        <v>2223</v>
      </c>
      <c r="B1118" t="s">
        <v>3198</v>
      </c>
      <c r="C1118" t="s">
        <v>571</v>
      </c>
      <c r="D1118" s="383">
        <v>119103</v>
      </c>
      <c r="E1118" s="384">
        <v>9940201259.8799992</v>
      </c>
      <c r="F1118" s="384">
        <v>0</v>
      </c>
      <c r="G1118" s="384">
        <v>0</v>
      </c>
      <c r="H1118" s="384">
        <v>0</v>
      </c>
      <c r="I1118" s="384">
        <v>0</v>
      </c>
      <c r="J1118" s="383">
        <v>102930</v>
      </c>
      <c r="K1118" s="383">
        <v>104508</v>
      </c>
    </row>
    <row r="1119" spans="1:11" x14ac:dyDescent="0.3">
      <c r="A1119" t="s">
        <v>2225</v>
      </c>
      <c r="B1119" t="s">
        <v>3198</v>
      </c>
      <c r="C1119" t="s">
        <v>574</v>
      </c>
      <c r="D1119" s="383">
        <v>17871</v>
      </c>
      <c r="E1119" s="384">
        <v>1878684117.6500001</v>
      </c>
      <c r="F1119" s="384">
        <v>0</v>
      </c>
      <c r="G1119" s="384">
        <v>0</v>
      </c>
      <c r="H1119" s="384">
        <v>0</v>
      </c>
      <c r="I1119" s="384">
        <v>0</v>
      </c>
      <c r="J1119" s="383">
        <v>13690</v>
      </c>
      <c r="K1119" s="383">
        <v>13705</v>
      </c>
    </row>
    <row r="1120" spans="1:11" x14ac:dyDescent="0.3">
      <c r="A1120" t="s">
        <v>2223</v>
      </c>
      <c r="B1120" t="s">
        <v>3198</v>
      </c>
      <c r="C1120" t="s">
        <v>574</v>
      </c>
      <c r="D1120" s="383">
        <v>134286</v>
      </c>
      <c r="E1120" s="384">
        <v>12742316584.860001</v>
      </c>
      <c r="F1120" s="384">
        <v>0</v>
      </c>
      <c r="G1120" s="384">
        <v>0</v>
      </c>
      <c r="H1120" s="384">
        <v>0</v>
      </c>
      <c r="I1120" s="384">
        <v>0</v>
      </c>
      <c r="J1120" s="383">
        <v>114805</v>
      </c>
      <c r="K1120" s="383">
        <v>116910</v>
      </c>
    </row>
    <row r="1121" spans="1:11" x14ac:dyDescent="0.3">
      <c r="A1121" t="s">
        <v>2223</v>
      </c>
      <c r="B1121" t="s">
        <v>3198</v>
      </c>
      <c r="C1121" t="s">
        <v>577</v>
      </c>
      <c r="D1121" s="383">
        <v>153268</v>
      </c>
      <c r="E1121" s="384">
        <v>17198394516.57</v>
      </c>
      <c r="F1121" s="384">
        <v>0</v>
      </c>
      <c r="G1121" s="384">
        <v>0</v>
      </c>
      <c r="H1121" s="384">
        <v>0</v>
      </c>
      <c r="I1121" s="384">
        <v>0</v>
      </c>
      <c r="J1121" s="383">
        <v>131856</v>
      </c>
      <c r="K1121" s="383">
        <v>134464</v>
      </c>
    </row>
    <row r="1122" spans="1:11" x14ac:dyDescent="0.3">
      <c r="A1122" t="s">
        <v>2225</v>
      </c>
      <c r="B1122" t="s">
        <v>3198</v>
      </c>
      <c r="C1122" t="s">
        <v>577</v>
      </c>
      <c r="D1122" s="383">
        <v>30223</v>
      </c>
      <c r="E1122" s="384">
        <v>3229263793.0100002</v>
      </c>
      <c r="F1122" s="384">
        <v>0</v>
      </c>
      <c r="G1122" s="384">
        <v>0</v>
      </c>
      <c r="H1122" s="384">
        <v>0</v>
      </c>
      <c r="I1122" s="384">
        <v>0</v>
      </c>
      <c r="J1122" s="383">
        <v>22471</v>
      </c>
      <c r="K1122" s="383">
        <v>22512</v>
      </c>
    </row>
    <row r="1123" spans="1:11" x14ac:dyDescent="0.3">
      <c r="A1123" t="s">
        <v>2223</v>
      </c>
      <c r="B1123" t="s">
        <v>3198</v>
      </c>
      <c r="C1123" t="s">
        <v>580</v>
      </c>
      <c r="D1123" s="383">
        <v>77085</v>
      </c>
      <c r="E1123" s="384">
        <v>10248889874.280001</v>
      </c>
      <c r="F1123" s="384">
        <v>0</v>
      </c>
      <c r="G1123" s="384">
        <v>0</v>
      </c>
      <c r="H1123" s="384">
        <v>0</v>
      </c>
      <c r="I1123" s="384">
        <v>0</v>
      </c>
      <c r="J1123" s="383">
        <v>69465</v>
      </c>
      <c r="K1123" s="383">
        <v>70146</v>
      </c>
    </row>
    <row r="1124" spans="1:11" x14ac:dyDescent="0.3">
      <c r="A1124" t="s">
        <v>2225</v>
      </c>
      <c r="B1124" t="s">
        <v>3198</v>
      </c>
      <c r="C1124" t="s">
        <v>580</v>
      </c>
      <c r="D1124" s="383">
        <v>16406</v>
      </c>
      <c r="E1124" s="384">
        <v>2127617184.1600001</v>
      </c>
      <c r="F1124" s="384">
        <v>0</v>
      </c>
      <c r="G1124" s="384">
        <v>0</v>
      </c>
      <c r="H1124" s="384">
        <v>0</v>
      </c>
      <c r="I1124" s="384">
        <v>0</v>
      </c>
      <c r="J1124" s="383">
        <v>13417</v>
      </c>
      <c r="K1124" s="383">
        <v>13439</v>
      </c>
    </row>
    <row r="1125" spans="1:11" x14ac:dyDescent="0.3">
      <c r="A1125" t="s">
        <v>2223</v>
      </c>
      <c r="B1125" t="s">
        <v>3198</v>
      </c>
      <c r="C1125" t="s">
        <v>581</v>
      </c>
      <c r="D1125" s="383">
        <v>65824</v>
      </c>
      <c r="E1125" s="384">
        <v>9463915924.2900009</v>
      </c>
      <c r="F1125" s="384">
        <v>0</v>
      </c>
      <c r="G1125" s="384">
        <v>0</v>
      </c>
      <c r="H1125" s="384">
        <v>0</v>
      </c>
      <c r="I1125" s="384">
        <v>0</v>
      </c>
      <c r="J1125" s="383">
        <v>60448</v>
      </c>
      <c r="K1125" s="383">
        <v>60858</v>
      </c>
    </row>
    <row r="1126" spans="1:11" x14ac:dyDescent="0.3">
      <c r="A1126" t="s">
        <v>2225</v>
      </c>
      <c r="B1126" t="s">
        <v>3198</v>
      </c>
      <c r="C1126" t="s">
        <v>581</v>
      </c>
      <c r="D1126" s="383">
        <v>15539</v>
      </c>
      <c r="E1126" s="384">
        <v>2288282867.6799998</v>
      </c>
      <c r="F1126" s="384">
        <v>0</v>
      </c>
      <c r="G1126" s="384">
        <v>0</v>
      </c>
      <c r="H1126" s="384">
        <v>0</v>
      </c>
      <c r="I1126" s="384">
        <v>0</v>
      </c>
      <c r="J1126" s="383">
        <v>13529</v>
      </c>
      <c r="K1126" s="383">
        <v>13559</v>
      </c>
    </row>
    <row r="1127" spans="1:11" x14ac:dyDescent="0.3">
      <c r="A1127" t="s">
        <v>2225</v>
      </c>
      <c r="B1127" t="s">
        <v>3198</v>
      </c>
      <c r="C1127" t="s">
        <v>584</v>
      </c>
      <c r="D1127" s="383">
        <v>9558</v>
      </c>
      <c r="E1127" s="384">
        <v>1619143588.1099999</v>
      </c>
      <c r="F1127" s="384">
        <v>0</v>
      </c>
      <c r="G1127" s="384">
        <v>0</v>
      </c>
      <c r="H1127" s="384">
        <v>0</v>
      </c>
      <c r="I1127" s="384">
        <v>0</v>
      </c>
      <c r="J1127" s="383">
        <v>8975</v>
      </c>
      <c r="K1127" s="383">
        <v>9000</v>
      </c>
    </row>
    <row r="1128" spans="1:11" x14ac:dyDescent="0.3">
      <c r="A1128" t="s">
        <v>2223</v>
      </c>
      <c r="B1128" t="s">
        <v>3198</v>
      </c>
      <c r="C1128" t="s">
        <v>584</v>
      </c>
      <c r="D1128" s="383">
        <v>38899</v>
      </c>
      <c r="E1128" s="384">
        <v>5859268077.6400003</v>
      </c>
      <c r="F1128" s="384">
        <v>0</v>
      </c>
      <c r="G1128" s="384">
        <v>0</v>
      </c>
      <c r="H1128" s="384">
        <v>0</v>
      </c>
      <c r="I1128" s="384">
        <v>0</v>
      </c>
      <c r="J1128" s="383">
        <v>36728</v>
      </c>
      <c r="K1128" s="383">
        <v>36956</v>
      </c>
    </row>
    <row r="1129" spans="1:11" x14ac:dyDescent="0.3">
      <c r="A1129" t="s">
        <v>2225</v>
      </c>
      <c r="B1129" t="s">
        <v>3198</v>
      </c>
      <c r="C1129" t="s">
        <v>585</v>
      </c>
      <c r="D1129" s="383">
        <v>3958</v>
      </c>
      <c r="E1129" s="384">
        <v>727569806.62</v>
      </c>
      <c r="F1129" s="384">
        <v>0</v>
      </c>
      <c r="G1129" s="384">
        <v>0</v>
      </c>
      <c r="H1129" s="384">
        <v>0</v>
      </c>
      <c r="I1129" s="384">
        <v>0</v>
      </c>
      <c r="J1129" s="383">
        <v>3841</v>
      </c>
      <c r="K1129" s="383">
        <v>3849</v>
      </c>
    </row>
    <row r="1130" spans="1:11" x14ac:dyDescent="0.3">
      <c r="A1130" t="s">
        <v>2223</v>
      </c>
      <c r="B1130" t="s">
        <v>3198</v>
      </c>
      <c r="C1130" t="s">
        <v>585</v>
      </c>
      <c r="D1130" s="383">
        <v>18033</v>
      </c>
      <c r="E1130" s="384">
        <v>2822487457.6399999</v>
      </c>
      <c r="F1130" s="384">
        <v>0</v>
      </c>
      <c r="G1130" s="384">
        <v>0</v>
      </c>
      <c r="H1130" s="384">
        <v>0</v>
      </c>
      <c r="I1130" s="384">
        <v>0</v>
      </c>
      <c r="J1130" s="383">
        <v>17327</v>
      </c>
      <c r="K1130" s="383">
        <v>17430</v>
      </c>
    </row>
    <row r="1131" spans="1:11" x14ac:dyDescent="0.3">
      <c r="A1131" t="s">
        <v>2223</v>
      </c>
      <c r="B1131" t="s">
        <v>3197</v>
      </c>
      <c r="C1131" t="s">
        <v>3199</v>
      </c>
      <c r="H1131" s="384">
        <v>8.16</v>
      </c>
    </row>
    <row r="1132" spans="1:11" x14ac:dyDescent="0.3">
      <c r="A1132" t="s">
        <v>2223</v>
      </c>
      <c r="B1132" t="s">
        <v>3197</v>
      </c>
      <c r="C1132" t="s">
        <v>3200</v>
      </c>
      <c r="H1132" s="384">
        <v>3.18</v>
      </c>
    </row>
    <row r="1133" spans="1:11" x14ac:dyDescent="0.3">
      <c r="A1133" t="s">
        <v>2419</v>
      </c>
      <c r="B1133" t="s">
        <v>3201</v>
      </c>
      <c r="C1133" t="s">
        <v>3197</v>
      </c>
      <c r="D1133" s="383">
        <v>222</v>
      </c>
      <c r="E1133" s="384">
        <v>64045500000</v>
      </c>
      <c r="F1133" s="384">
        <v>0</v>
      </c>
      <c r="G1133" s="384">
        <v>0</v>
      </c>
      <c r="H1133" s="384">
        <v>5.3</v>
      </c>
      <c r="I1133" s="384">
        <v>0</v>
      </c>
      <c r="J1133" s="383">
        <v>0</v>
      </c>
      <c r="K1133" s="383">
        <v>0</v>
      </c>
    </row>
    <row r="1134" spans="1:11" x14ac:dyDescent="0.3">
      <c r="A1134" t="s">
        <v>2419</v>
      </c>
      <c r="B1134" t="s">
        <v>3202</v>
      </c>
      <c r="C1134" t="s">
        <v>3197</v>
      </c>
      <c r="D1134" s="383">
        <v>222</v>
      </c>
      <c r="E1134" s="384">
        <v>64045500000</v>
      </c>
      <c r="F1134" s="384">
        <v>0</v>
      </c>
      <c r="G1134" s="384">
        <v>0</v>
      </c>
      <c r="H1134" s="384">
        <v>6.15</v>
      </c>
      <c r="I1134" s="384">
        <v>0</v>
      </c>
      <c r="J1134" s="383">
        <v>0</v>
      </c>
      <c r="K1134" s="383">
        <v>0</v>
      </c>
    </row>
    <row r="1795" spans="5:5" x14ac:dyDescent="0.3">
      <c r="E1795" s="184"/>
    </row>
    <row r="1823" spans="5:5" x14ac:dyDescent="0.3">
      <c r="E1823" s="184"/>
    </row>
  </sheetData>
  <autoFilter ref="A1:K1959"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C97-6813-4DD3-AF48-54CDF65FCC88}">
  <sheetPr>
    <tabColor rgb="FF243386"/>
  </sheetPr>
  <dimension ref="A1:P223"/>
  <sheetViews>
    <sheetView tabSelected="1" topLeftCell="A111" zoomScale="80" zoomScaleNormal="80" workbookViewId="0">
      <selection activeCell="M122" sqref="M122"/>
    </sheetView>
  </sheetViews>
  <sheetFormatPr baseColWidth="10" defaultColWidth="11.44140625" defaultRowHeight="13.2" x14ac:dyDescent="0.25"/>
  <cols>
    <col min="1" max="1" width="5.44140625" style="33" customWidth="1"/>
    <col min="2" max="2" width="20.6640625" style="29" customWidth="1"/>
    <col min="3" max="3" width="19.5546875" style="29" customWidth="1"/>
    <col min="4" max="5" width="15.33203125" style="29" customWidth="1"/>
    <col min="6" max="6" width="18.6640625" style="29" customWidth="1"/>
    <col min="7" max="7" width="14.33203125" style="29" customWidth="1"/>
    <col min="8" max="8" width="12.33203125" style="29" customWidth="1"/>
    <col min="9" max="9" width="10.6640625" style="29" customWidth="1"/>
    <col min="10" max="10" width="11.44140625" style="29" customWidth="1"/>
    <col min="11" max="16384" width="11.44140625" style="29"/>
  </cols>
  <sheetData>
    <row r="1" spans="1:10" s="34" customFormat="1" ht="20.25" customHeight="1" x14ac:dyDescent="0.3">
      <c r="A1" s="385"/>
      <c r="B1" s="386" t="s">
        <v>3203</v>
      </c>
      <c r="C1" s="387"/>
      <c r="D1" s="387"/>
      <c r="E1" s="387"/>
      <c r="F1" s="387"/>
      <c r="G1" s="387"/>
      <c r="H1" s="387"/>
      <c r="I1" s="387"/>
      <c r="J1" s="387"/>
    </row>
    <row r="3" spans="1:10" x14ac:dyDescent="0.25">
      <c r="B3" s="21" t="s">
        <v>3204</v>
      </c>
      <c r="C3" s="76" t="s">
        <v>274</v>
      </c>
      <c r="D3" s="388"/>
      <c r="E3" s="389"/>
    </row>
    <row r="4" spans="1:10" x14ac:dyDescent="0.25">
      <c r="B4" s="21" t="s">
        <v>3205</v>
      </c>
      <c r="C4" s="77">
        <v>46203</v>
      </c>
      <c r="D4" s="29" t="s">
        <v>3206</v>
      </c>
    </row>
    <row r="6" spans="1:10" x14ac:dyDescent="0.25">
      <c r="C6" s="35"/>
    </row>
    <row r="7" spans="1:10" s="34" customFormat="1" ht="20.25" customHeight="1" x14ac:dyDescent="0.3">
      <c r="A7" s="385">
        <v>1</v>
      </c>
      <c r="B7" s="386" t="s">
        <v>3207</v>
      </c>
      <c r="C7" s="387"/>
      <c r="D7" s="387"/>
      <c r="E7" s="387"/>
      <c r="F7" s="387"/>
      <c r="G7" s="387"/>
      <c r="H7" s="387"/>
      <c r="I7" s="387"/>
      <c r="J7" s="387"/>
    </row>
    <row r="10" spans="1:10" x14ac:dyDescent="0.25">
      <c r="A10" s="33" t="s">
        <v>3208</v>
      </c>
      <c r="B10" s="390" t="s">
        <v>3209</v>
      </c>
      <c r="C10" s="391"/>
      <c r="D10" s="391"/>
      <c r="E10" s="392" t="s">
        <v>3210</v>
      </c>
      <c r="F10" s="388"/>
      <c r="G10" s="388"/>
      <c r="H10" s="389"/>
    </row>
    <row r="11" spans="1:10" x14ac:dyDescent="0.25">
      <c r="B11" s="390" t="s">
        <v>3211</v>
      </c>
      <c r="C11" s="391"/>
      <c r="D11" s="391"/>
      <c r="E11" s="392" t="s">
        <v>3210</v>
      </c>
      <c r="F11" s="388"/>
      <c r="G11" s="388"/>
      <c r="H11" s="389"/>
    </row>
    <row r="12" spans="1:10" ht="15" customHeight="1" x14ac:dyDescent="0.3">
      <c r="B12" s="393" t="s">
        <v>3212</v>
      </c>
      <c r="C12" s="394"/>
      <c r="D12" s="394"/>
      <c r="E12" s="395" t="s">
        <v>3213</v>
      </c>
      <c r="F12" s="396"/>
      <c r="G12" s="396"/>
      <c r="H12" s="397"/>
    </row>
    <row r="13" spans="1:10" x14ac:dyDescent="0.25">
      <c r="B13" s="28"/>
      <c r="C13" s="28"/>
      <c r="D13" s="28"/>
      <c r="E13" s="28"/>
      <c r="F13" s="398"/>
    </row>
    <row r="14" spans="1:10" x14ac:dyDescent="0.25">
      <c r="B14" s="28"/>
      <c r="C14" s="28"/>
      <c r="D14" s="28"/>
      <c r="E14" s="28"/>
      <c r="F14" s="398"/>
    </row>
    <row r="15" spans="1:10" x14ac:dyDescent="0.25">
      <c r="A15" s="33" t="s">
        <v>3214</v>
      </c>
      <c r="F15" s="399" t="s">
        <v>3215</v>
      </c>
      <c r="G15" s="399" t="s">
        <v>3216</v>
      </c>
      <c r="H15" s="400" t="s">
        <v>3217</v>
      </c>
    </row>
    <row r="16" spans="1:10" x14ac:dyDescent="0.25">
      <c r="B16" s="401" t="s">
        <v>3218</v>
      </c>
      <c r="C16" s="402"/>
      <c r="D16" s="403"/>
      <c r="E16" s="404" t="s">
        <v>3219</v>
      </c>
      <c r="F16" s="63" t="s">
        <v>2145</v>
      </c>
      <c r="G16" s="63">
        <v>0</v>
      </c>
      <c r="H16" s="63" t="s">
        <v>2168</v>
      </c>
    </row>
    <row r="17" spans="1:10" x14ac:dyDescent="0.25">
      <c r="B17" s="405"/>
      <c r="C17" s="406"/>
      <c r="D17" s="407"/>
      <c r="E17" s="408" t="s">
        <v>3220</v>
      </c>
      <c r="F17" s="63" t="s">
        <v>2212</v>
      </c>
      <c r="G17" s="63">
        <v>0</v>
      </c>
      <c r="H17" s="63" t="s">
        <v>2168</v>
      </c>
    </row>
    <row r="18" spans="1:10" x14ac:dyDescent="0.25">
      <c r="B18" s="393"/>
      <c r="C18" s="394"/>
      <c r="D18" s="409"/>
      <c r="E18" s="410" t="s">
        <v>3221</v>
      </c>
      <c r="F18" s="63" t="s">
        <v>2145</v>
      </c>
      <c r="G18" s="63">
        <v>0</v>
      </c>
      <c r="H18" s="63" t="s">
        <v>2168</v>
      </c>
    </row>
    <row r="19" spans="1:10" x14ac:dyDescent="0.25">
      <c r="F19" s="411"/>
      <c r="G19" s="411"/>
      <c r="H19" s="411"/>
    </row>
    <row r="20" spans="1:10" x14ac:dyDescent="0.25">
      <c r="F20" s="411"/>
      <c r="G20" s="411"/>
      <c r="H20" s="411"/>
    </row>
    <row r="21" spans="1:10" x14ac:dyDescent="0.25">
      <c r="A21" s="33" t="s">
        <v>3222</v>
      </c>
      <c r="F21" s="399" t="s">
        <v>3215</v>
      </c>
      <c r="G21" s="399" t="s">
        <v>3223</v>
      </c>
      <c r="H21" s="399" t="s">
        <v>3217</v>
      </c>
    </row>
    <row r="22" spans="1:10" x14ac:dyDescent="0.25">
      <c r="B22" s="401" t="s">
        <v>3224</v>
      </c>
      <c r="C22" s="402"/>
      <c r="D22" s="403"/>
      <c r="E22" s="404" t="s">
        <v>3219</v>
      </c>
      <c r="F22" s="63" t="s">
        <v>3225</v>
      </c>
      <c r="G22" s="63"/>
      <c r="H22" s="63"/>
    </row>
    <row r="23" spans="1:10" x14ac:dyDescent="0.25">
      <c r="B23" s="405"/>
      <c r="C23" s="406"/>
      <c r="D23" s="407"/>
      <c r="E23" s="408" t="s">
        <v>3220</v>
      </c>
      <c r="F23" s="64" t="s">
        <v>3225</v>
      </c>
      <c r="G23" s="64"/>
      <c r="H23" s="64"/>
    </row>
    <row r="24" spans="1:10" x14ac:dyDescent="0.25">
      <c r="B24" s="393"/>
      <c r="C24" s="394"/>
      <c r="D24" s="409"/>
      <c r="E24" s="410" t="s">
        <v>3221</v>
      </c>
      <c r="F24" s="65" t="s">
        <v>3225</v>
      </c>
      <c r="G24" s="65"/>
      <c r="H24" s="65"/>
    </row>
    <row r="25" spans="1:10" x14ac:dyDescent="0.25">
      <c r="F25" s="411"/>
      <c r="G25" s="411"/>
      <c r="H25" s="411"/>
    </row>
    <row r="26" spans="1:10" x14ac:dyDescent="0.25">
      <c r="F26" s="411"/>
      <c r="G26" s="411"/>
      <c r="H26" s="411"/>
    </row>
    <row r="27" spans="1:10" x14ac:dyDescent="0.25">
      <c r="A27" s="33" t="s">
        <v>3226</v>
      </c>
      <c r="B27" s="401" t="s">
        <v>3227</v>
      </c>
      <c r="C27" s="412"/>
      <c r="D27" s="186">
        <v>0.16400000000000001</v>
      </c>
      <c r="F27" s="110"/>
    </row>
    <row r="28" spans="1:10" x14ac:dyDescent="0.25">
      <c r="B28" s="393"/>
      <c r="C28" s="413" t="s">
        <v>3228</v>
      </c>
      <c r="D28" s="193">
        <v>46112</v>
      </c>
    </row>
    <row r="31" spans="1:10" s="34" customFormat="1" ht="20.25" customHeight="1" x14ac:dyDescent="0.3">
      <c r="A31" s="385">
        <v>2</v>
      </c>
      <c r="B31" s="386" t="s">
        <v>3229</v>
      </c>
      <c r="C31" s="387"/>
      <c r="D31" s="387"/>
      <c r="E31" s="387"/>
      <c r="F31" s="387"/>
      <c r="G31" s="387"/>
      <c r="H31" s="387"/>
      <c r="I31" s="387"/>
      <c r="J31" s="387"/>
    </row>
    <row r="34" spans="1:8" s="22" customFormat="1" x14ac:dyDescent="0.25">
      <c r="A34" s="33" t="s">
        <v>3230</v>
      </c>
      <c r="B34" s="24" t="s">
        <v>3231</v>
      </c>
    </row>
    <row r="35" spans="1:8" s="22" customFormat="1" x14ac:dyDescent="0.25">
      <c r="A35" s="33"/>
      <c r="B35" s="24"/>
    </row>
    <row r="36" spans="1:8" x14ac:dyDescent="0.25">
      <c r="B36" s="390" t="s">
        <v>3232</v>
      </c>
      <c r="C36" s="391"/>
      <c r="D36" s="414"/>
      <c r="E36" s="78" t="s">
        <v>274</v>
      </c>
      <c r="F36" s="79"/>
      <c r="G36" s="388"/>
      <c r="H36" s="389"/>
    </row>
    <row r="37" spans="1:8" x14ac:dyDescent="0.25">
      <c r="B37" s="390" t="s">
        <v>3233</v>
      </c>
      <c r="C37" s="391"/>
      <c r="D37" s="414"/>
      <c r="E37" s="78" t="s">
        <v>3234</v>
      </c>
      <c r="F37" s="79"/>
      <c r="G37" s="388"/>
      <c r="H37" s="389"/>
    </row>
    <row r="38" spans="1:8" ht="15" customHeight="1" x14ac:dyDescent="0.3">
      <c r="B38" s="390" t="s">
        <v>3235</v>
      </c>
      <c r="C38" s="391"/>
      <c r="D38" s="414"/>
      <c r="E38" s="176" t="s">
        <v>3236</v>
      </c>
      <c r="F38" s="79"/>
      <c r="G38" s="388"/>
      <c r="H38" s="389"/>
    </row>
    <row r="39" spans="1:8" x14ac:dyDescent="0.25">
      <c r="B39" s="28"/>
      <c r="C39" s="28"/>
      <c r="D39" s="28"/>
      <c r="E39" s="415"/>
      <c r="F39" s="416"/>
    </row>
    <row r="40" spans="1:8" x14ac:dyDescent="0.25">
      <c r="B40" s="390" t="s">
        <v>3237</v>
      </c>
      <c r="C40" s="391"/>
      <c r="D40" s="391"/>
      <c r="E40" s="80" t="s">
        <v>303</v>
      </c>
      <c r="F40" s="79"/>
      <c r="G40" s="388"/>
      <c r="H40" s="389"/>
    </row>
    <row r="41" spans="1:8" x14ac:dyDescent="0.25">
      <c r="B41" s="405" t="s">
        <v>3238</v>
      </c>
      <c r="C41" s="406"/>
      <c r="D41" s="406"/>
      <c r="E41" s="81" t="s">
        <v>298</v>
      </c>
      <c r="F41" s="79"/>
      <c r="G41" s="388"/>
      <c r="H41" s="389"/>
    </row>
    <row r="42" spans="1:8" x14ac:dyDescent="0.25">
      <c r="B42" s="390" t="s">
        <v>3239</v>
      </c>
      <c r="C42" s="391"/>
      <c r="D42" s="391"/>
      <c r="E42" s="81" t="s">
        <v>298</v>
      </c>
      <c r="F42" s="79"/>
      <c r="G42" s="388"/>
      <c r="H42" s="389"/>
    </row>
    <row r="45" spans="1:8" s="22" customFormat="1" x14ac:dyDescent="0.25">
      <c r="A45" s="33" t="s">
        <v>3240</v>
      </c>
      <c r="B45" s="24" t="s">
        <v>3241</v>
      </c>
    </row>
    <row r="46" spans="1:8" s="22" customFormat="1" x14ac:dyDescent="0.25">
      <c r="A46" s="33"/>
      <c r="B46" s="24"/>
    </row>
    <row r="47" spans="1:8" s="22" customFormat="1" x14ac:dyDescent="0.25">
      <c r="A47" s="33"/>
      <c r="B47" s="24"/>
      <c r="C47" s="29"/>
      <c r="E47" s="417" t="s">
        <v>352</v>
      </c>
      <c r="F47" s="417" t="s">
        <v>3242</v>
      </c>
      <c r="G47" s="33"/>
    </row>
    <row r="48" spans="1:8" s="22" customFormat="1" ht="26.25" customHeight="1" x14ac:dyDescent="0.25">
      <c r="A48" s="33"/>
      <c r="B48" s="24"/>
      <c r="C48" s="29"/>
      <c r="E48" s="418" t="s">
        <v>3243</v>
      </c>
      <c r="F48" s="418" t="s">
        <v>3244</v>
      </c>
      <c r="G48" s="33"/>
    </row>
    <row r="49" spans="1:6" x14ac:dyDescent="0.25">
      <c r="B49" s="419" t="s">
        <v>3245</v>
      </c>
      <c r="C49" s="420" t="s">
        <v>3246</v>
      </c>
      <c r="D49" s="421"/>
      <c r="E49" s="50">
        <v>0</v>
      </c>
      <c r="F49" s="50">
        <v>0</v>
      </c>
    </row>
    <row r="50" spans="1:6" x14ac:dyDescent="0.25">
      <c r="B50" s="422"/>
      <c r="C50" s="408" t="s">
        <v>3247</v>
      </c>
      <c r="D50" s="423"/>
      <c r="E50" s="51">
        <v>0</v>
      </c>
      <c r="F50" s="51">
        <v>0</v>
      </c>
    </row>
    <row r="51" spans="1:6" x14ac:dyDescent="0.25">
      <c r="B51" s="422"/>
      <c r="C51" s="408" t="s">
        <v>3248</v>
      </c>
      <c r="D51" s="424"/>
      <c r="E51" s="51">
        <v>85276.06631051586</v>
      </c>
      <c r="F51" s="51">
        <v>0</v>
      </c>
    </row>
    <row r="52" spans="1:6" x14ac:dyDescent="0.25">
      <c r="B52" s="425"/>
      <c r="C52" s="410" t="s">
        <v>3249</v>
      </c>
      <c r="D52" s="426"/>
      <c r="E52" s="52">
        <v>0</v>
      </c>
      <c r="F52" s="52">
        <v>0</v>
      </c>
    </row>
    <row r="53" spans="1:6" x14ac:dyDescent="0.25">
      <c r="B53" s="390"/>
      <c r="C53" s="427" t="s">
        <v>352</v>
      </c>
      <c r="D53" s="391"/>
      <c r="E53" s="42">
        <v>85276.06631051586</v>
      </c>
      <c r="F53" s="42">
        <v>0</v>
      </c>
    </row>
    <row r="55" spans="1:6" x14ac:dyDescent="0.25">
      <c r="B55" s="390" t="s">
        <v>3250</v>
      </c>
      <c r="C55" s="391"/>
      <c r="D55" s="391"/>
      <c r="E55" s="42">
        <v>64045.5</v>
      </c>
      <c r="F55" s="42"/>
    </row>
    <row r="58" spans="1:6" s="22" customFormat="1" x14ac:dyDescent="0.25">
      <c r="A58" s="33" t="s">
        <v>3251</v>
      </c>
      <c r="B58" s="24" t="s">
        <v>3252</v>
      </c>
    </row>
    <row r="59" spans="1:6" s="22" customFormat="1" x14ac:dyDescent="0.25">
      <c r="A59" s="33"/>
      <c r="B59" s="24"/>
    </row>
    <row r="60" spans="1:6" ht="12.75" customHeight="1" x14ac:dyDescent="0.25">
      <c r="C60" s="428" t="s">
        <v>3253</v>
      </c>
      <c r="D60" s="429" t="s">
        <v>3254</v>
      </c>
    </row>
    <row r="61" spans="1:6" x14ac:dyDescent="0.25">
      <c r="B61" s="404" t="s">
        <v>3255</v>
      </c>
      <c r="C61" s="69">
        <v>1.05</v>
      </c>
      <c r="D61" s="69">
        <v>1.0914038123412262</v>
      </c>
    </row>
    <row r="62" spans="1:6" x14ac:dyDescent="0.25">
      <c r="B62" s="410" t="s">
        <v>3256</v>
      </c>
      <c r="C62" s="70">
        <v>1</v>
      </c>
      <c r="D62" s="70">
        <v>1.0914038123412262</v>
      </c>
    </row>
    <row r="63" spans="1:6" x14ac:dyDescent="0.25">
      <c r="B63" s="393" t="s">
        <v>1007</v>
      </c>
      <c r="C63" s="43"/>
      <c r="D63" s="44"/>
    </row>
    <row r="64" spans="1:6" x14ac:dyDescent="0.25">
      <c r="B64" s="28"/>
      <c r="C64" s="25"/>
      <c r="D64" s="28"/>
    </row>
    <row r="65" spans="1:7" x14ac:dyDescent="0.25">
      <c r="B65" s="28"/>
      <c r="C65" s="25"/>
      <c r="D65" s="28"/>
    </row>
    <row r="66" spans="1:7" x14ac:dyDescent="0.25">
      <c r="A66" s="33" t="s">
        <v>3257</v>
      </c>
      <c r="B66" s="24" t="s">
        <v>3258</v>
      </c>
      <c r="C66" s="25"/>
      <c r="D66" s="28"/>
    </row>
    <row r="67" spans="1:7" x14ac:dyDescent="0.25">
      <c r="B67" s="28"/>
      <c r="C67" s="25"/>
      <c r="D67" s="28"/>
    </row>
    <row r="68" spans="1:7" x14ac:dyDescent="0.25">
      <c r="B68" s="28"/>
      <c r="C68" s="25"/>
      <c r="D68" s="28"/>
      <c r="E68" s="399" t="s">
        <v>3215</v>
      </c>
      <c r="F68" s="399" t="s">
        <v>3216</v>
      </c>
      <c r="G68" s="399" t="s">
        <v>3217</v>
      </c>
    </row>
    <row r="69" spans="1:7" x14ac:dyDescent="0.25">
      <c r="B69" s="401" t="s">
        <v>3259</v>
      </c>
      <c r="C69" s="402"/>
      <c r="D69" s="420" t="s">
        <v>3219</v>
      </c>
      <c r="E69" s="66"/>
      <c r="F69" s="63"/>
      <c r="G69" s="63"/>
    </row>
    <row r="70" spans="1:7" x14ac:dyDescent="0.25">
      <c r="B70" s="405"/>
      <c r="C70" s="406"/>
      <c r="D70" s="430" t="s">
        <v>3220</v>
      </c>
      <c r="E70" s="67" t="s">
        <v>3260</v>
      </c>
      <c r="F70" s="64"/>
      <c r="G70" s="64" t="s">
        <v>2168</v>
      </c>
    </row>
    <row r="71" spans="1:7" x14ac:dyDescent="0.25">
      <c r="B71" s="393"/>
      <c r="C71" s="394"/>
      <c r="D71" s="431" t="s">
        <v>3221</v>
      </c>
      <c r="E71" s="68" t="s">
        <v>3261</v>
      </c>
      <c r="F71" s="65"/>
      <c r="G71" s="65" t="s">
        <v>2168</v>
      </c>
    </row>
    <row r="74" spans="1:7" x14ac:dyDescent="0.25">
      <c r="A74" s="33" t="s">
        <v>3262</v>
      </c>
      <c r="B74" s="24" t="s">
        <v>3263</v>
      </c>
      <c r="C74" s="23"/>
    </row>
    <row r="75" spans="1:7" x14ac:dyDescent="0.25">
      <c r="A75" s="31"/>
      <c r="B75" s="23"/>
      <c r="C75" s="23"/>
    </row>
    <row r="76" spans="1:7" x14ac:dyDescent="0.25">
      <c r="B76" s="432" t="s">
        <v>3264</v>
      </c>
      <c r="C76" s="391"/>
      <c r="D76" s="414"/>
      <c r="E76" s="399" t="s">
        <v>3265</v>
      </c>
    </row>
    <row r="77" spans="1:7" x14ac:dyDescent="0.25">
      <c r="B77" s="404" t="s">
        <v>2142</v>
      </c>
      <c r="C77" s="421"/>
      <c r="D77" s="433"/>
      <c r="E77" s="185">
        <v>600.23900000000003</v>
      </c>
    </row>
    <row r="78" spans="1:7" x14ac:dyDescent="0.25">
      <c r="B78" s="408" t="s">
        <v>3266</v>
      </c>
      <c r="C78" s="424"/>
      <c r="D78" s="434"/>
      <c r="E78" s="51">
        <v>0</v>
      </c>
    </row>
    <row r="79" spans="1:7" x14ac:dyDescent="0.25">
      <c r="B79" s="410" t="s">
        <v>3267</v>
      </c>
      <c r="C79" s="426"/>
      <c r="D79" s="435"/>
      <c r="E79" s="52">
        <v>0</v>
      </c>
    </row>
    <row r="80" spans="1:7" x14ac:dyDescent="0.25">
      <c r="B80" s="390"/>
      <c r="C80" s="391"/>
      <c r="D80" s="436" t="s">
        <v>3268</v>
      </c>
      <c r="E80" s="42">
        <v>600.23900000000003</v>
      </c>
    </row>
    <row r="81" spans="1:7" x14ac:dyDescent="0.25">
      <c r="B81" s="404" t="s">
        <v>3250</v>
      </c>
      <c r="C81" s="421"/>
      <c r="D81" s="433"/>
      <c r="E81" s="181">
        <v>64045.5</v>
      </c>
    </row>
    <row r="82" spans="1:7" x14ac:dyDescent="0.25">
      <c r="B82" s="410" t="s">
        <v>3269</v>
      </c>
      <c r="C82" s="426"/>
      <c r="D82" s="435"/>
      <c r="E82" s="53">
        <v>0</v>
      </c>
    </row>
    <row r="83" spans="1:7" x14ac:dyDescent="0.25">
      <c r="B83" s="390"/>
      <c r="C83" s="391"/>
      <c r="D83" s="436" t="s">
        <v>3270</v>
      </c>
      <c r="E83" s="45">
        <v>64045.5</v>
      </c>
    </row>
    <row r="84" spans="1:7" x14ac:dyDescent="0.25">
      <c r="B84" s="432" t="s">
        <v>3271</v>
      </c>
      <c r="C84" s="391"/>
      <c r="D84" s="414"/>
      <c r="E84" s="45">
        <v>64645.739000000001</v>
      </c>
    </row>
    <row r="88" spans="1:7" x14ac:dyDescent="0.25">
      <c r="A88" s="33" t="s">
        <v>3272</v>
      </c>
      <c r="B88" s="24" t="s">
        <v>3273</v>
      </c>
      <c r="C88" s="23"/>
    </row>
    <row r="90" spans="1:7" x14ac:dyDescent="0.25">
      <c r="B90" s="437" t="s">
        <v>3274</v>
      </c>
      <c r="C90" s="402"/>
      <c r="D90" s="402"/>
      <c r="E90" s="438"/>
      <c r="F90" s="402"/>
      <c r="G90" s="403"/>
    </row>
    <row r="91" spans="1:7" x14ac:dyDescent="0.25">
      <c r="B91" s="439" t="s">
        <v>3275</v>
      </c>
      <c r="C91" s="440"/>
      <c r="D91" s="440"/>
      <c r="E91" s="441"/>
      <c r="F91" s="406"/>
      <c r="G91" s="407"/>
    </row>
    <row r="92" spans="1:7" x14ac:dyDescent="0.25">
      <c r="B92" s="439" t="s">
        <v>3276</v>
      </c>
      <c r="C92" s="440"/>
      <c r="D92" s="440"/>
      <c r="E92" s="441"/>
      <c r="F92" s="406"/>
      <c r="G92" s="407"/>
    </row>
    <row r="93" spans="1:7" x14ac:dyDescent="0.25">
      <c r="B93" s="439" t="s">
        <v>3277</v>
      </c>
      <c r="C93" s="440"/>
      <c r="D93" s="440"/>
      <c r="E93" s="441"/>
      <c r="F93" s="406"/>
      <c r="G93" s="407"/>
    </row>
    <row r="94" spans="1:7" x14ac:dyDescent="0.25">
      <c r="B94" s="439" t="s">
        <v>3278</v>
      </c>
      <c r="C94" s="440"/>
      <c r="D94" s="440"/>
      <c r="E94" s="441"/>
      <c r="F94" s="406"/>
      <c r="G94" s="407"/>
    </row>
    <row r="95" spans="1:7" x14ac:dyDescent="0.25">
      <c r="B95" s="405"/>
      <c r="C95" s="442" t="s">
        <v>3279</v>
      </c>
      <c r="D95" s="440"/>
      <c r="E95" s="441"/>
      <c r="F95" s="406"/>
      <c r="G95" s="407"/>
    </row>
    <row r="96" spans="1:7" x14ac:dyDescent="0.25">
      <c r="B96" s="405"/>
      <c r="C96" s="442" t="s">
        <v>3280</v>
      </c>
      <c r="D96" s="440"/>
      <c r="E96" s="441"/>
      <c r="F96" s="406"/>
      <c r="G96" s="407"/>
    </row>
    <row r="97" spans="1:10" x14ac:dyDescent="0.25">
      <c r="B97" s="405"/>
      <c r="C97" s="442" t="s">
        <v>3281</v>
      </c>
      <c r="D97" s="440"/>
      <c r="E97" s="441"/>
      <c r="F97" s="406"/>
      <c r="G97" s="407"/>
    </row>
    <row r="98" spans="1:10" x14ac:dyDescent="0.25">
      <c r="B98" s="443" t="s">
        <v>3282</v>
      </c>
      <c r="C98" s="440"/>
      <c r="D98" s="440"/>
      <c r="E98" s="441"/>
      <c r="F98" s="406"/>
      <c r="G98" s="407"/>
    </row>
    <row r="99" spans="1:10" x14ac:dyDescent="0.25">
      <c r="B99" s="444" t="s">
        <v>3283</v>
      </c>
      <c r="C99" s="394"/>
      <c r="D99" s="394"/>
      <c r="E99" s="445"/>
      <c r="F99" s="394"/>
      <c r="G99" s="409"/>
    </row>
    <row r="101" spans="1:10" x14ac:dyDescent="0.25">
      <c r="A101" s="33" t="s">
        <v>3284</v>
      </c>
      <c r="B101" s="24" t="s">
        <v>3285</v>
      </c>
      <c r="C101" s="23"/>
      <c r="D101" s="399" t="s">
        <v>298</v>
      </c>
    </row>
    <row r="106" spans="1:10" s="34" customFormat="1" ht="20.25" customHeight="1" x14ac:dyDescent="0.3">
      <c r="A106" s="385">
        <v>3</v>
      </c>
      <c r="B106" s="386" t="s">
        <v>3286</v>
      </c>
      <c r="C106" s="387"/>
      <c r="D106" s="387"/>
      <c r="E106" s="387"/>
      <c r="F106" s="387"/>
      <c r="G106" s="387"/>
      <c r="H106" s="387"/>
      <c r="I106" s="387"/>
      <c r="J106" s="387"/>
    </row>
    <row r="107" spans="1:10" s="25" customFormat="1" x14ac:dyDescent="0.25">
      <c r="A107" s="30"/>
    </row>
    <row r="109" spans="1:10" x14ac:dyDescent="0.25">
      <c r="A109" s="33" t="s">
        <v>3287</v>
      </c>
      <c r="B109" s="24" t="s">
        <v>3288</v>
      </c>
    </row>
    <row r="111" spans="1:10" ht="21" customHeight="1" x14ac:dyDescent="0.25">
      <c r="B111" s="28"/>
      <c r="C111" s="28"/>
      <c r="D111" s="446" t="s">
        <v>3289</v>
      </c>
      <c r="E111" s="447" t="s">
        <v>325</v>
      </c>
      <c r="F111" s="446" t="s">
        <v>3290</v>
      </c>
    </row>
    <row r="112" spans="1:10" x14ac:dyDescent="0.25">
      <c r="B112" s="404" t="s">
        <v>3291</v>
      </c>
      <c r="C112" s="421"/>
      <c r="D112" s="54">
        <v>0</v>
      </c>
      <c r="E112" s="55">
        <v>0</v>
      </c>
      <c r="F112" s="56"/>
    </row>
    <row r="113" spans="1:10" x14ac:dyDescent="0.25">
      <c r="B113" s="408" t="s">
        <v>845</v>
      </c>
      <c r="C113" s="424"/>
      <c r="D113" s="57">
        <v>5.6391128225288547</v>
      </c>
      <c r="E113" s="58">
        <v>8.1594655550183806</v>
      </c>
      <c r="F113" s="82">
        <v>7.0046529600000004E-2</v>
      </c>
    </row>
    <row r="114" spans="1:10" x14ac:dyDescent="0.25">
      <c r="B114" s="408" t="s">
        <v>848</v>
      </c>
      <c r="C114" s="423"/>
      <c r="D114" s="57">
        <v>0</v>
      </c>
      <c r="E114" s="58">
        <v>0</v>
      </c>
      <c r="F114" s="59"/>
    </row>
    <row r="115" spans="1:10" x14ac:dyDescent="0.25">
      <c r="B115" s="410" t="s">
        <v>3249</v>
      </c>
      <c r="C115" s="426"/>
      <c r="D115" s="60">
        <v>0</v>
      </c>
      <c r="E115" s="61">
        <v>0</v>
      </c>
      <c r="F115" s="62"/>
    </row>
    <row r="116" spans="1:10" x14ac:dyDescent="0.25">
      <c r="B116" s="390"/>
      <c r="C116" s="427" t="s">
        <v>3292</v>
      </c>
      <c r="D116" s="47">
        <v>5.6391128225288547</v>
      </c>
      <c r="E116" s="48">
        <v>8.1594655550183806</v>
      </c>
      <c r="F116" s="46"/>
    </row>
    <row r="117" spans="1:10" x14ac:dyDescent="0.25">
      <c r="C117" s="22"/>
      <c r="D117" s="448"/>
      <c r="E117" s="448"/>
      <c r="F117" s="416"/>
    </row>
    <row r="118" spans="1:10" x14ac:dyDescent="0.25">
      <c r="B118" s="390"/>
      <c r="C118" s="449" t="s">
        <v>3293</v>
      </c>
      <c r="D118" s="187">
        <v>6.15</v>
      </c>
      <c r="E118" s="188">
        <v>5.3</v>
      </c>
      <c r="F118" s="41"/>
    </row>
    <row r="121" spans="1:10" x14ac:dyDescent="0.25">
      <c r="A121" s="33" t="s">
        <v>3294</v>
      </c>
      <c r="B121" s="24" t="s">
        <v>3295</v>
      </c>
    </row>
    <row r="123" spans="1:10" x14ac:dyDescent="0.25">
      <c r="D123" s="399" t="s">
        <v>3296</v>
      </c>
      <c r="E123" s="399" t="s">
        <v>372</v>
      </c>
      <c r="F123" s="399" t="s">
        <v>374</v>
      </c>
      <c r="G123" s="399" t="s">
        <v>376</v>
      </c>
      <c r="H123" s="399" t="s">
        <v>378</v>
      </c>
      <c r="I123" s="399" t="s">
        <v>380</v>
      </c>
      <c r="J123" s="399" t="s">
        <v>382</v>
      </c>
    </row>
    <row r="124" spans="1:10" x14ac:dyDescent="0.25">
      <c r="B124" s="404" t="s">
        <v>3291</v>
      </c>
      <c r="C124" s="421"/>
      <c r="D124" s="50">
        <v>0</v>
      </c>
      <c r="E124" s="50">
        <v>0</v>
      </c>
      <c r="F124" s="50">
        <v>0</v>
      </c>
      <c r="G124" s="50">
        <v>0</v>
      </c>
      <c r="H124" s="50">
        <v>0</v>
      </c>
      <c r="I124" s="50">
        <v>0</v>
      </c>
      <c r="J124" s="50">
        <v>0</v>
      </c>
    </row>
    <row r="125" spans="1:10" x14ac:dyDescent="0.25">
      <c r="B125" s="408" t="s">
        <v>845</v>
      </c>
      <c r="C125" s="424"/>
      <c r="D125" s="51">
        <v>11017.3073552397</v>
      </c>
      <c r="E125" s="51">
        <v>10712.021697342347</v>
      </c>
      <c r="F125" s="51">
        <v>9454.3750811359641</v>
      </c>
      <c r="G125" s="51">
        <v>8308.3511785674964</v>
      </c>
      <c r="H125" s="51">
        <v>7268.4298126898575</v>
      </c>
      <c r="I125" s="51">
        <v>24029.927791426111</v>
      </c>
      <c r="J125" s="51">
        <v>14485.653394114393</v>
      </c>
    </row>
    <row r="126" spans="1:10" x14ac:dyDescent="0.25">
      <c r="B126" s="408" t="s">
        <v>848</v>
      </c>
      <c r="C126" s="424"/>
      <c r="D126" s="51">
        <v>0</v>
      </c>
      <c r="E126" s="51">
        <v>0</v>
      </c>
      <c r="F126" s="51">
        <v>0</v>
      </c>
      <c r="G126" s="51">
        <v>0</v>
      </c>
      <c r="H126" s="51">
        <v>0</v>
      </c>
      <c r="I126" s="51">
        <v>0</v>
      </c>
      <c r="J126" s="51">
        <v>0</v>
      </c>
    </row>
    <row r="127" spans="1:10" x14ac:dyDescent="0.25">
      <c r="B127" s="410" t="s">
        <v>3249</v>
      </c>
      <c r="C127" s="426"/>
      <c r="D127" s="52">
        <v>0</v>
      </c>
      <c r="E127" s="52">
        <v>0</v>
      </c>
      <c r="F127" s="52">
        <v>0</v>
      </c>
      <c r="G127" s="52">
        <v>0</v>
      </c>
      <c r="H127" s="52">
        <v>0</v>
      </c>
      <c r="I127" s="52">
        <v>0</v>
      </c>
      <c r="J127" s="52">
        <v>0</v>
      </c>
    </row>
    <row r="128" spans="1:10" x14ac:dyDescent="0.25">
      <c r="B128" s="450"/>
      <c r="C128" s="451" t="s">
        <v>3297</v>
      </c>
      <c r="D128" s="49">
        <v>11017.3073552397</v>
      </c>
      <c r="E128" s="49">
        <v>10712.021697342347</v>
      </c>
      <c r="F128" s="49">
        <v>9454.3750811359641</v>
      </c>
      <c r="G128" s="49">
        <v>8308.3511785674964</v>
      </c>
      <c r="H128" s="49">
        <v>7268.4298126898575</v>
      </c>
      <c r="I128" s="49">
        <v>24029.927791426111</v>
      </c>
      <c r="J128" s="49">
        <v>14485.653394114393</v>
      </c>
    </row>
    <row r="129" spans="1:16" x14ac:dyDescent="0.25">
      <c r="C129" s="21"/>
      <c r="D129" s="452"/>
      <c r="E129" s="452"/>
      <c r="F129" s="452"/>
      <c r="G129" s="452"/>
      <c r="H129" s="452"/>
      <c r="I129" s="452"/>
      <c r="J129" s="452"/>
    </row>
    <row r="130" spans="1:16" ht="14.4" x14ac:dyDescent="0.3">
      <c r="B130" s="390"/>
      <c r="C130" s="453" t="s">
        <v>3298</v>
      </c>
      <c r="D130" s="606">
        <v>30</v>
      </c>
      <c r="E130" s="606">
        <v>8016</v>
      </c>
      <c r="F130" s="606">
        <v>7066</v>
      </c>
      <c r="G130" s="606">
        <v>8893</v>
      </c>
      <c r="H130" s="606">
        <v>4760</v>
      </c>
      <c r="I130" s="606">
        <v>28141.200000000001</v>
      </c>
      <c r="J130" s="606">
        <v>7139.3</v>
      </c>
      <c r="O130" s="610"/>
      <c r="P130" s="610"/>
    </row>
    <row r="131" spans="1:16" ht="14.4" x14ac:dyDescent="0.25">
      <c r="O131" s="610"/>
      <c r="P131" s="610"/>
    </row>
    <row r="132" spans="1:16" ht="14.4" x14ac:dyDescent="0.25">
      <c r="O132" s="610"/>
      <c r="P132" s="610"/>
    </row>
    <row r="133" spans="1:16" ht="14.4" x14ac:dyDescent="0.25">
      <c r="A133" s="33" t="s">
        <v>3299</v>
      </c>
      <c r="B133" s="24" t="s">
        <v>3300</v>
      </c>
      <c r="O133" s="610"/>
      <c r="P133" s="610"/>
    </row>
    <row r="134" spans="1:16" ht="14.4" x14ac:dyDescent="0.25">
      <c r="O134" s="610"/>
      <c r="P134" s="610"/>
    </row>
    <row r="135" spans="1:16" ht="14.4" x14ac:dyDescent="0.25">
      <c r="D135" s="399" t="s">
        <v>370</v>
      </c>
      <c r="E135" s="399" t="s">
        <v>372</v>
      </c>
      <c r="F135" s="399" t="s">
        <v>374</v>
      </c>
      <c r="G135" s="399" t="s">
        <v>376</v>
      </c>
      <c r="H135" s="399" t="s">
        <v>378</v>
      </c>
      <c r="I135" s="399" t="s">
        <v>380</v>
      </c>
      <c r="J135" s="399" t="s">
        <v>382</v>
      </c>
      <c r="O135" s="610"/>
      <c r="P135" s="610"/>
    </row>
    <row r="136" spans="1:16" ht="14.4" x14ac:dyDescent="0.25">
      <c r="B136" s="404" t="s">
        <v>3291</v>
      </c>
      <c r="C136" s="421"/>
      <c r="D136" s="596">
        <v>0</v>
      </c>
      <c r="E136" s="596">
        <v>0</v>
      </c>
      <c r="F136" s="596">
        <v>0</v>
      </c>
      <c r="G136" s="596">
        <v>0</v>
      </c>
      <c r="H136" s="596">
        <v>0</v>
      </c>
      <c r="I136" s="596">
        <v>0</v>
      </c>
      <c r="J136" s="596">
        <v>0</v>
      </c>
      <c r="O136" s="610"/>
      <c r="P136" s="610"/>
    </row>
    <row r="137" spans="1:16" x14ac:dyDescent="0.25">
      <c r="B137" s="408" t="s">
        <v>845</v>
      </c>
      <c r="C137" s="424"/>
      <c r="D137" s="597">
        <v>147.89310601</v>
      </c>
      <c r="E137" s="597">
        <v>433.02753218999999</v>
      </c>
      <c r="F137" s="597">
        <v>778.59679159999996</v>
      </c>
      <c r="G137" s="597">
        <v>1129.5313548399999</v>
      </c>
      <c r="H137" s="597">
        <v>1505.6074065299999</v>
      </c>
      <c r="I137" s="597">
        <v>13832.71452222</v>
      </c>
      <c r="J137" s="597">
        <v>67448.69575965</v>
      </c>
    </row>
    <row r="138" spans="1:16" x14ac:dyDescent="0.25">
      <c r="B138" s="408" t="s">
        <v>848</v>
      </c>
      <c r="C138" s="424"/>
      <c r="D138" s="597">
        <v>0</v>
      </c>
      <c r="E138" s="597">
        <v>0</v>
      </c>
      <c r="F138" s="597">
        <v>0</v>
      </c>
      <c r="G138" s="597">
        <v>0</v>
      </c>
      <c r="H138" s="597">
        <v>0</v>
      </c>
      <c r="I138" s="597">
        <v>0</v>
      </c>
      <c r="J138" s="597">
        <v>0</v>
      </c>
    </row>
    <row r="139" spans="1:16" x14ac:dyDescent="0.25">
      <c r="B139" s="410" t="s">
        <v>3249</v>
      </c>
      <c r="C139" s="426"/>
      <c r="D139" s="598">
        <v>0</v>
      </c>
      <c r="E139" s="598">
        <v>0</v>
      </c>
      <c r="F139" s="598">
        <v>0</v>
      </c>
      <c r="G139" s="598">
        <v>0</v>
      </c>
      <c r="H139" s="598">
        <v>0</v>
      </c>
      <c r="I139" s="598">
        <v>0</v>
      </c>
      <c r="J139" s="598">
        <v>0</v>
      </c>
    </row>
    <row r="140" spans="1:16" x14ac:dyDescent="0.25">
      <c r="B140" s="450"/>
      <c r="C140" s="451" t="s">
        <v>3301</v>
      </c>
      <c r="D140" s="597">
        <v>147.89310601</v>
      </c>
      <c r="E140" s="597">
        <v>433.02753218999999</v>
      </c>
      <c r="F140" s="597">
        <v>778.59679159999996</v>
      </c>
      <c r="G140" s="597">
        <v>1129.5313548399999</v>
      </c>
      <c r="H140" s="597">
        <v>1505.6074065299999</v>
      </c>
      <c r="I140" s="597">
        <v>13832.71452222</v>
      </c>
      <c r="J140" s="597">
        <v>67448.69575965</v>
      </c>
      <c r="K140" s="599" t="s">
        <v>3311</v>
      </c>
    </row>
    <row r="141" spans="1:16" x14ac:dyDescent="0.25">
      <c r="C141" s="21"/>
      <c r="D141" s="452"/>
      <c r="E141" s="452"/>
      <c r="F141" s="452"/>
      <c r="G141" s="452"/>
      <c r="H141" s="452"/>
      <c r="I141" s="452"/>
      <c r="J141" s="452"/>
    </row>
    <row r="142" spans="1:16" ht="14.4" x14ac:dyDescent="0.3">
      <c r="B142" s="432"/>
      <c r="C142" s="453" t="s">
        <v>3302</v>
      </c>
      <c r="D142" s="606">
        <v>4280</v>
      </c>
      <c r="E142" s="606">
        <v>10782</v>
      </c>
      <c r="F142" s="606">
        <v>7345</v>
      </c>
      <c r="G142" s="606">
        <v>6358</v>
      </c>
      <c r="H142" s="606">
        <v>5920</v>
      </c>
      <c r="I142" s="606">
        <v>24871.200000000001</v>
      </c>
      <c r="J142" s="606">
        <v>4489.3</v>
      </c>
    </row>
    <row r="143" spans="1:16" ht="14.4" x14ac:dyDescent="0.3">
      <c r="B143" s="404"/>
      <c r="C143" s="454" t="s">
        <v>3303</v>
      </c>
      <c r="D143" s="606">
        <v>30</v>
      </c>
      <c r="E143" s="606">
        <v>3766</v>
      </c>
      <c r="F143" s="606">
        <v>50</v>
      </c>
      <c r="G143" s="606">
        <v>1598</v>
      </c>
      <c r="H143" s="606">
        <v>0</v>
      </c>
      <c r="I143" s="606">
        <v>3121.2</v>
      </c>
      <c r="J143" s="607">
        <v>960</v>
      </c>
    </row>
    <row r="144" spans="1:16" ht="14.4" x14ac:dyDescent="0.3">
      <c r="B144" s="410"/>
      <c r="C144" s="435" t="s">
        <v>3304</v>
      </c>
      <c r="D144" s="608">
        <v>4250</v>
      </c>
      <c r="E144" s="608">
        <v>7016</v>
      </c>
      <c r="F144" s="608">
        <v>7295</v>
      </c>
      <c r="G144" s="608">
        <v>4760</v>
      </c>
      <c r="H144" s="608">
        <v>5920</v>
      </c>
      <c r="I144" s="608">
        <v>21750</v>
      </c>
      <c r="J144" s="609">
        <v>3529.3</v>
      </c>
    </row>
    <row r="145" spans="1:10" x14ac:dyDescent="0.25">
      <c r="D145" s="600"/>
      <c r="E145" s="600"/>
      <c r="F145" s="600"/>
      <c r="G145" s="600"/>
      <c r="H145" s="600"/>
      <c r="I145" s="600"/>
      <c r="J145" s="600"/>
    </row>
    <row r="147" spans="1:10" x14ac:dyDescent="0.25">
      <c r="A147" s="33" t="s">
        <v>3305</v>
      </c>
      <c r="B147" s="24" t="s">
        <v>3306</v>
      </c>
    </row>
    <row r="149" spans="1:10" x14ac:dyDescent="0.25">
      <c r="B149" s="455" t="s">
        <v>3307</v>
      </c>
      <c r="C149" s="456" t="s">
        <v>3308</v>
      </c>
      <c r="D149" s="391"/>
      <c r="E149" s="391"/>
      <c r="F149" s="391"/>
      <c r="G149" s="414"/>
    </row>
    <row r="150" spans="1:10" x14ac:dyDescent="0.25">
      <c r="B150" s="457"/>
      <c r="C150" s="83"/>
      <c r="D150" s="84"/>
      <c r="E150" s="84"/>
      <c r="F150" s="84"/>
      <c r="G150" s="85"/>
    </row>
    <row r="151" spans="1:10" ht="275.25" customHeight="1" x14ac:dyDescent="0.25">
      <c r="B151" s="405"/>
      <c r="C151" s="623" t="s">
        <v>3309</v>
      </c>
      <c r="D151" s="624"/>
      <c r="E151" s="624"/>
      <c r="F151" s="624"/>
      <c r="G151" s="625"/>
    </row>
    <row r="152" spans="1:10" x14ac:dyDescent="0.25">
      <c r="B152" s="405"/>
      <c r="C152" s="458" t="s">
        <v>1092</v>
      </c>
      <c r="D152" s="458" t="s">
        <v>3197</v>
      </c>
      <c r="G152" s="459"/>
    </row>
    <row r="153" spans="1:10" x14ac:dyDescent="0.25">
      <c r="B153" s="419" t="s">
        <v>3310</v>
      </c>
      <c r="C153" s="90" t="s">
        <v>3311</v>
      </c>
      <c r="D153" s="85" t="s">
        <v>3311</v>
      </c>
      <c r="G153" s="459"/>
    </row>
    <row r="154" spans="1:10" x14ac:dyDescent="0.25">
      <c r="B154" s="450" t="s">
        <v>3312</v>
      </c>
      <c r="C154" s="100" t="s">
        <v>3311</v>
      </c>
      <c r="D154" s="389"/>
      <c r="E154" s="396"/>
      <c r="F154" s="396"/>
      <c r="G154" s="397"/>
    </row>
    <row r="155" spans="1:10" x14ac:dyDescent="0.25">
      <c r="B155" s="455" t="s">
        <v>3313</v>
      </c>
      <c r="C155" s="391"/>
      <c r="D155" s="391"/>
      <c r="E155" s="391"/>
      <c r="F155" s="391"/>
      <c r="G155" s="414"/>
    </row>
    <row r="156" spans="1:10" x14ac:dyDescent="0.25">
      <c r="B156" s="422"/>
      <c r="C156" s="460"/>
      <c r="D156" s="84"/>
      <c r="E156" s="84"/>
      <c r="F156" s="84"/>
      <c r="G156" s="85"/>
    </row>
    <row r="157" spans="1:10" ht="166.5" customHeight="1" x14ac:dyDescent="0.25">
      <c r="B157" s="422"/>
      <c r="C157" s="626" t="s">
        <v>3314</v>
      </c>
      <c r="D157" s="627"/>
      <c r="E157" s="627"/>
      <c r="F157" s="627"/>
      <c r="G157" s="628"/>
    </row>
    <row r="158" spans="1:10" x14ac:dyDescent="0.25">
      <c r="B158" s="405"/>
      <c r="C158" s="458" t="s">
        <v>1092</v>
      </c>
      <c r="D158" s="458" t="s">
        <v>3197</v>
      </c>
      <c r="G158" s="459"/>
    </row>
    <row r="159" spans="1:10" x14ac:dyDescent="0.25">
      <c r="B159" s="419" t="s">
        <v>3310</v>
      </c>
      <c r="C159" s="90" t="s">
        <v>3311</v>
      </c>
      <c r="D159" s="85" t="s">
        <v>3311</v>
      </c>
      <c r="G159" s="459"/>
    </row>
    <row r="160" spans="1:10" x14ac:dyDescent="0.25">
      <c r="B160" s="450" t="s">
        <v>3312</v>
      </c>
      <c r="C160" s="100" t="s">
        <v>3311</v>
      </c>
      <c r="D160" s="389" t="s">
        <v>3311</v>
      </c>
      <c r="E160" s="396"/>
      <c r="F160" s="396"/>
      <c r="G160" s="397"/>
    </row>
    <row r="163" spans="1:5" x14ac:dyDescent="0.25">
      <c r="A163" s="33" t="s">
        <v>3315</v>
      </c>
      <c r="B163" s="24" t="s">
        <v>3316</v>
      </c>
    </row>
    <row r="164" spans="1:5" x14ac:dyDescent="0.25">
      <c r="D164" s="417" t="s">
        <v>3265</v>
      </c>
    </row>
    <row r="165" spans="1:5" x14ac:dyDescent="0.25">
      <c r="D165" s="458" t="s">
        <v>3317</v>
      </c>
    </row>
    <row r="166" spans="1:5" x14ac:dyDescent="0.25">
      <c r="B166" s="404" t="s">
        <v>3318</v>
      </c>
      <c r="C166" s="421"/>
      <c r="D166" s="100"/>
    </row>
    <row r="167" spans="1:5" x14ac:dyDescent="0.25">
      <c r="B167" s="408" t="s">
        <v>3319</v>
      </c>
      <c r="C167" s="434"/>
      <c r="D167" s="461"/>
    </row>
    <row r="168" spans="1:5" x14ac:dyDescent="0.25">
      <c r="B168" s="408" t="s">
        <v>3320</v>
      </c>
      <c r="C168" s="434"/>
      <c r="D168" s="76"/>
    </row>
    <row r="169" spans="1:5" x14ac:dyDescent="0.25">
      <c r="B169" s="408" t="s">
        <v>3249</v>
      </c>
      <c r="C169" s="462" t="s">
        <v>3321</v>
      </c>
      <c r="D169" s="76">
        <v>600.23900000000003</v>
      </c>
      <c r="E169" s="33"/>
    </row>
    <row r="170" spans="1:5" x14ac:dyDescent="0.25">
      <c r="B170" s="410"/>
      <c r="C170" s="463" t="s">
        <v>350</v>
      </c>
      <c r="D170" s="178">
        <v>69.532715999999994</v>
      </c>
    </row>
    <row r="171" spans="1:5" x14ac:dyDescent="0.25">
      <c r="B171" s="432"/>
      <c r="C171" s="464" t="s">
        <v>3322</v>
      </c>
      <c r="D171" s="76">
        <v>669.77171599999997</v>
      </c>
    </row>
    <row r="172" spans="1:5" x14ac:dyDescent="0.25">
      <c r="B172" s="432"/>
      <c r="C172" s="464" t="s">
        <v>3323</v>
      </c>
      <c r="D172" s="465">
        <v>1.0457748257098469E-2</v>
      </c>
    </row>
    <row r="173" spans="1:5" x14ac:dyDescent="0.25">
      <c r="B173" s="22"/>
      <c r="C173" s="21"/>
    </row>
    <row r="174" spans="1:5" x14ac:dyDescent="0.25">
      <c r="B174" s="390" t="s">
        <v>3324</v>
      </c>
      <c r="C174" s="453"/>
      <c r="D174" s="388"/>
      <c r="E174" s="399" t="s">
        <v>3325</v>
      </c>
    </row>
    <row r="175" spans="1:5" x14ac:dyDescent="0.25">
      <c r="B175" s="466"/>
      <c r="C175" s="467" t="s">
        <v>3326</v>
      </c>
      <c r="D175" s="468"/>
      <c r="E175" s="100"/>
    </row>
    <row r="176" spans="1:5" x14ac:dyDescent="0.25">
      <c r="B176" s="22"/>
      <c r="C176" s="21"/>
    </row>
    <row r="178" spans="1:4" x14ac:dyDescent="0.25">
      <c r="A178" s="33" t="s">
        <v>3327</v>
      </c>
      <c r="B178" s="24" t="s">
        <v>3328</v>
      </c>
    </row>
    <row r="180" spans="1:4" x14ac:dyDescent="0.25">
      <c r="C180" s="399" t="s">
        <v>3265</v>
      </c>
      <c r="D180" s="400" t="s">
        <v>3197</v>
      </c>
    </row>
    <row r="181" spans="1:4" x14ac:dyDescent="0.25">
      <c r="B181" s="420" t="s">
        <v>3329</v>
      </c>
      <c r="C181" s="180">
        <v>600.23900000000003</v>
      </c>
      <c r="D181" s="179">
        <v>3.9952164000028501</v>
      </c>
    </row>
    <row r="182" spans="1:4" x14ac:dyDescent="0.25">
      <c r="B182" s="430" t="s">
        <v>3330</v>
      </c>
      <c r="C182" s="469"/>
      <c r="D182" s="93"/>
    </row>
    <row r="183" spans="1:4" x14ac:dyDescent="0.25">
      <c r="B183" s="431" t="s">
        <v>3331</v>
      </c>
      <c r="C183" s="470"/>
      <c r="D183" s="96"/>
    </row>
    <row r="184" spans="1:4" x14ac:dyDescent="0.25">
      <c r="B184" s="432" t="s">
        <v>352</v>
      </c>
      <c r="C184" s="76">
        <v>600.23900000000003</v>
      </c>
      <c r="D184" s="471">
        <v>3.9952164000028505</v>
      </c>
    </row>
    <row r="198" ht="11.4" customHeight="1" x14ac:dyDescent="0.25"/>
    <row r="223" spans="2:2" x14ac:dyDescent="0.25">
      <c r="B223" s="36"/>
    </row>
  </sheetData>
  <mergeCells count="2">
    <mergeCell ref="C151:G151"/>
    <mergeCell ref="C157:G157"/>
  </mergeCells>
  <hyperlinks>
    <hyperlink ref="E12" r:id="rId1" xr:uid="{00000000-0004-0000-0B00-000000000000}"/>
    <hyperlink ref="E38" r:id="rId2" xr:uid="{00000000-0004-0000-0B00-000001000000}"/>
    <hyperlink ref="E40" r:id="rId3" xr:uid="{00000000-0004-0000-0B00-000002000000}"/>
  </hyperlinks>
  <pageMargins left="0.23622047244094491" right="7.874015748031496E-2" top="0.94488188976377963" bottom="0.47244094488188981" header="0.51181102362204722" footer="0.51181102362204722"/>
  <pageSetup paperSize="9" scale="69" firstPageNumber="2" orientation="portrait" useFirstPageNumber="1" r:id="rId4"/>
  <headerFooter alignWithMargins="0">
    <oddFooter>&amp;L&amp;G&amp;CPage &amp;P de 13&amp;R&amp;D</oddFooter>
  </headerFooter>
  <rowBreaks count="2" manualBreakCount="2">
    <brk id="64" max="9" man="1"/>
    <brk id="145" max="9" man="1"/>
  </rowBreaks>
  <legacyDrawingHF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A89AB-383B-4310-9ECB-18B4445C02EB}">
  <sheetPr>
    <tabColor rgb="FF243386"/>
  </sheetPr>
  <dimension ref="A1:M208"/>
  <sheetViews>
    <sheetView zoomScale="80" zoomScaleNormal="80" workbookViewId="0">
      <selection activeCell="O175" sqref="O175"/>
    </sheetView>
  </sheetViews>
  <sheetFormatPr baseColWidth="10" defaultColWidth="11.44140625" defaultRowHeight="13.2" x14ac:dyDescent="0.25"/>
  <cols>
    <col min="1" max="1" width="4.33203125" style="33" customWidth="1"/>
    <col min="2" max="2" width="17.33203125" style="29" customWidth="1"/>
    <col min="3" max="3" width="15.33203125" style="29" customWidth="1"/>
    <col min="4" max="4" width="13.6640625" style="29" customWidth="1"/>
    <col min="5" max="5" width="10.6640625" style="29" customWidth="1"/>
    <col min="6" max="6" width="9.5546875" style="29" customWidth="1"/>
    <col min="7" max="7" width="9.6640625" style="29" customWidth="1"/>
    <col min="8" max="8" width="9.44140625" style="29" customWidth="1"/>
    <col min="9" max="9" width="12.44140625" style="29" customWidth="1"/>
    <col min="10" max="10" width="9.6640625" style="29" customWidth="1"/>
    <col min="11" max="11" width="10.44140625" style="29" customWidth="1"/>
    <col min="12" max="12" width="9.6640625" style="29" customWidth="1"/>
    <col min="13" max="13" width="10.33203125" style="29" customWidth="1"/>
    <col min="14" max="14" width="11.44140625" style="29" customWidth="1"/>
    <col min="15" max="16384" width="11.44140625" style="29"/>
  </cols>
  <sheetData>
    <row r="1" spans="1:13" s="34" customFormat="1" ht="20.25" customHeight="1" x14ac:dyDescent="0.3">
      <c r="A1" s="385"/>
      <c r="B1" s="386" t="s">
        <v>3203</v>
      </c>
      <c r="C1" s="387"/>
      <c r="D1" s="387"/>
      <c r="E1" s="387"/>
      <c r="F1" s="387"/>
      <c r="G1" s="387"/>
      <c r="H1" s="387"/>
      <c r="I1" s="387"/>
      <c r="J1" s="387"/>
      <c r="K1" s="387"/>
      <c r="L1" s="387"/>
      <c r="M1" s="387"/>
    </row>
    <row r="3" spans="1:13" x14ac:dyDescent="0.25">
      <c r="B3" s="21" t="s">
        <v>3204</v>
      </c>
      <c r="C3" s="76" t="s">
        <v>274</v>
      </c>
      <c r="D3" s="388"/>
      <c r="E3" s="389"/>
    </row>
    <row r="4" spans="1:13" x14ac:dyDescent="0.25">
      <c r="B4" s="21" t="s">
        <v>3205</v>
      </c>
      <c r="C4" s="77">
        <f>'D1.Overview'!C4</f>
        <v>46203</v>
      </c>
    </row>
    <row r="6" spans="1:13" s="34" customFormat="1" ht="20.25" customHeight="1" x14ac:dyDescent="0.3">
      <c r="A6" s="385">
        <v>4</v>
      </c>
      <c r="B6" s="386" t="s">
        <v>3332</v>
      </c>
      <c r="C6" s="387"/>
      <c r="D6" s="387"/>
      <c r="E6" s="387"/>
      <c r="F6" s="387"/>
      <c r="G6" s="387"/>
      <c r="H6" s="387"/>
      <c r="I6" s="387"/>
      <c r="J6" s="387"/>
      <c r="K6" s="387"/>
      <c r="L6" s="387"/>
      <c r="M6" s="387"/>
    </row>
    <row r="9" spans="1:13" x14ac:dyDescent="0.25">
      <c r="A9" s="33" t="s">
        <v>3333</v>
      </c>
      <c r="B9" s="24" t="s">
        <v>3334</v>
      </c>
    </row>
    <row r="11" spans="1:13" ht="28.5" customHeight="1" x14ac:dyDescent="0.25">
      <c r="C11" s="472" t="s">
        <v>3335</v>
      </c>
    </row>
    <row r="12" spans="1:13" x14ac:dyDescent="0.25">
      <c r="B12" s="390" t="s">
        <v>3336</v>
      </c>
      <c r="C12" s="86">
        <v>1</v>
      </c>
    </row>
    <row r="13" spans="1:13" x14ac:dyDescent="0.25">
      <c r="B13" s="390" t="s">
        <v>3337</v>
      </c>
      <c r="C13" s="86">
        <v>0</v>
      </c>
    </row>
    <row r="14" spans="1:13" x14ac:dyDescent="0.25">
      <c r="B14" s="473" t="s">
        <v>3338</v>
      </c>
      <c r="C14" s="87">
        <v>0</v>
      </c>
    </row>
    <row r="15" spans="1:13" x14ac:dyDescent="0.25">
      <c r="B15" s="474" t="s">
        <v>3339</v>
      </c>
      <c r="C15" s="88">
        <v>0</v>
      </c>
    </row>
    <row r="16" spans="1:13" x14ac:dyDescent="0.25">
      <c r="B16" s="474" t="s">
        <v>3340</v>
      </c>
      <c r="C16" s="88">
        <v>0</v>
      </c>
    </row>
    <row r="17" spans="1:10" x14ac:dyDescent="0.25">
      <c r="B17" s="474" t="s">
        <v>3341</v>
      </c>
      <c r="C17" s="88">
        <v>0</v>
      </c>
    </row>
    <row r="18" spans="1:10" x14ac:dyDescent="0.25">
      <c r="B18" s="475" t="s">
        <v>3342</v>
      </c>
      <c r="C18" s="89">
        <v>0</v>
      </c>
    </row>
    <row r="19" spans="1:10" x14ac:dyDescent="0.25">
      <c r="B19" s="476" t="s">
        <v>3343</v>
      </c>
      <c r="C19" s="86">
        <v>0</v>
      </c>
    </row>
    <row r="22" spans="1:10" x14ac:dyDescent="0.25">
      <c r="A22" s="33" t="s">
        <v>3344</v>
      </c>
      <c r="B22" s="24" t="s">
        <v>3345</v>
      </c>
      <c r="C22" s="22"/>
    </row>
    <row r="23" spans="1:10" x14ac:dyDescent="0.25">
      <c r="B23" s="477"/>
      <c r="C23" s="22"/>
    </row>
    <row r="24" spans="1:10" x14ac:dyDescent="0.25">
      <c r="B24" s="399" t="s">
        <v>3346</v>
      </c>
      <c r="C24" s="399" t="s">
        <v>271</v>
      </c>
      <c r="D24" s="399" t="s">
        <v>3347</v>
      </c>
      <c r="E24" s="28"/>
      <c r="F24" s="478"/>
      <c r="G24" s="28"/>
      <c r="H24" s="479"/>
      <c r="I24" s="33"/>
      <c r="J24" s="33"/>
    </row>
    <row r="25" spans="1:10" x14ac:dyDescent="0.25">
      <c r="B25" s="90" t="s">
        <v>3348</v>
      </c>
      <c r="C25" s="91" t="s">
        <v>163</v>
      </c>
      <c r="D25" s="92">
        <v>0</v>
      </c>
      <c r="E25" s="478"/>
      <c r="G25" s="478"/>
    </row>
    <row r="26" spans="1:10" x14ac:dyDescent="0.25">
      <c r="B26" s="73" t="s">
        <v>1007</v>
      </c>
      <c r="C26" s="93" t="s">
        <v>1007</v>
      </c>
      <c r="D26" s="94">
        <v>0</v>
      </c>
    </row>
    <row r="27" spans="1:10" x14ac:dyDescent="0.25">
      <c r="B27" s="95"/>
      <c r="C27" s="96"/>
      <c r="D27" s="97">
        <v>0</v>
      </c>
    </row>
    <row r="28" spans="1:10" x14ac:dyDescent="0.25">
      <c r="B28" s="28"/>
      <c r="C28" s="28"/>
    </row>
    <row r="29" spans="1:10" x14ac:dyDescent="0.25">
      <c r="B29" s="28"/>
      <c r="C29" s="28"/>
    </row>
    <row r="30" spans="1:10" x14ac:dyDescent="0.25">
      <c r="A30" s="33" t="s">
        <v>3349</v>
      </c>
      <c r="B30" s="24" t="s">
        <v>3350</v>
      </c>
    </row>
    <row r="31" spans="1:10" x14ac:dyDescent="0.25">
      <c r="B31" s="28"/>
      <c r="C31" s="28"/>
    </row>
    <row r="32" spans="1:10" x14ac:dyDescent="0.25">
      <c r="B32" s="480" t="s">
        <v>3351</v>
      </c>
      <c r="C32" s="481"/>
      <c r="D32" s="482" t="s">
        <v>3347</v>
      </c>
    </row>
    <row r="33" spans="1:4" x14ac:dyDescent="0.25">
      <c r="A33" s="189">
        <v>84</v>
      </c>
      <c r="B33" s="404" t="s">
        <v>977</v>
      </c>
      <c r="C33" s="433"/>
      <c r="D33" s="92" cm="1">
        <f t="array" ref="D33">(SUMPRODUCT((Cube!$A$2:$A$10001="MOBILISE")*(Cube!$B$2:$B$10001="Geographic Distribution")*(Cube!$C$2:$C$10001=TEXT(A33,"00"))*(Cube!$E$2:$E$10001)))/(SUMPRODUCT((Cube!$A$2:$A$10001="MOBILISE")*(Cube!$B$2:$B$10001="Summary")*(Cube!$C$2:$C$10001="MTKRDC")*(Cube!$E$2:$E$10001)))</f>
        <v>0.1409398741194253</v>
      </c>
    </row>
    <row r="34" spans="1:4" x14ac:dyDescent="0.25">
      <c r="A34" s="189">
        <v>27</v>
      </c>
      <c r="B34" s="408" t="s">
        <v>979</v>
      </c>
      <c r="C34" s="434"/>
      <c r="D34" s="92" cm="1">
        <f t="array" ref="D34">(SUMPRODUCT((Cube!$A$2:$A$10001="MOBILISE")*(Cube!$B$2:$B$10001="Geographic Distribution")*(Cube!$C$2:$C$10001=TEXT(A34,"00"))*(Cube!$E$2:$E$10001)))/(SUMPRODUCT((Cube!$A$2:$A$10001="MOBILISE")*(Cube!$B$2:$B$10001="Summary")*(Cube!$C$2:$C$10001="MTKRDC")*(Cube!$E$2:$E$10001)))</f>
        <v>5.0465158383455E-2</v>
      </c>
    </row>
    <row r="35" spans="1:4" x14ac:dyDescent="0.25">
      <c r="A35" s="189">
        <v>53</v>
      </c>
      <c r="B35" s="408" t="s">
        <v>981</v>
      </c>
      <c r="C35" s="434"/>
      <c r="D35" s="92" cm="1">
        <f t="array" ref="D35">(SUMPRODUCT((Cube!$A$2:$A$10001="MOBILISE")*(Cube!$B$2:$B$10001="Geographic Distribution")*(Cube!$C$2:$C$10001=TEXT(A35,"00"))*(Cube!$E$2:$E$10001)))/(SUMPRODUCT((Cube!$A$2:$A$10001="MOBILISE")*(Cube!$B$2:$B$10001="Summary")*(Cube!$C$2:$C$10001="MTKRDC")*(Cube!$E$2:$E$10001)))</f>
        <v>4.0991506079201379E-2</v>
      </c>
    </row>
    <row r="36" spans="1:4" x14ac:dyDescent="0.25">
      <c r="A36" s="189">
        <v>24</v>
      </c>
      <c r="B36" s="408" t="s">
        <v>983</v>
      </c>
      <c r="C36" s="434"/>
      <c r="D36" s="92" cm="1">
        <f t="array" ref="D36">(SUMPRODUCT((Cube!$A$2:$A$10001="MOBILISE")*(Cube!$B$2:$B$10001="Geographic Distribution")*(Cube!$C$2:$C$10001=TEXT(A36,"00"))*(Cube!$E$2:$E$10001)))/(SUMPRODUCT((Cube!$A$2:$A$10001="MOBILISE")*(Cube!$B$2:$B$10001="Summary")*(Cube!$C$2:$C$10001="MTKRDC")*(Cube!$E$2:$E$10001)))</f>
        <v>3.2154534478051777E-2</v>
      </c>
    </row>
    <row r="37" spans="1:4" x14ac:dyDescent="0.25">
      <c r="A37" s="189">
        <v>94</v>
      </c>
      <c r="B37" s="408" t="s">
        <v>985</v>
      </c>
      <c r="C37" s="434"/>
      <c r="D37" s="92" cm="1">
        <f t="array" ref="D37">(SUMPRODUCT((Cube!$A$2:$A$10001="MOBILISE")*(Cube!$B$2:$B$10001="Geographic Distribution")*(Cube!$C$2:$C$10001=TEXT(A37,"00"))*(Cube!$E$2:$E$10001)))/(SUMPRODUCT((Cube!$A$2:$A$10001="MOBILISE")*(Cube!$B$2:$B$10001="Summary")*(Cube!$C$2:$C$10001="MTKRDC")*(Cube!$E$2:$E$10001)))</f>
        <v>7.0188040887090748E-3</v>
      </c>
    </row>
    <row r="38" spans="1:4" x14ac:dyDescent="0.25">
      <c r="A38" s="189">
        <v>44</v>
      </c>
      <c r="B38" s="408" t="s">
        <v>987</v>
      </c>
      <c r="C38" s="434"/>
      <c r="D38" s="92" cm="1">
        <f t="array" ref="D38">(SUMPRODUCT((Cube!$A$2:$A$10001="MOBILISE")*(Cube!$B$2:$B$10001="Geographic Distribution")*(Cube!$C$2:$C$10001=TEXT(A38,"00"))*(Cube!$E$2:$E$10001)))/(SUMPRODUCT((Cube!$A$2:$A$10001="MOBILISE")*(Cube!$B$2:$B$10001="Summary")*(Cube!$C$2:$C$10001="MTKRDC")*(Cube!$E$2:$E$10001)))</f>
        <v>7.3360313608716865E-2</v>
      </c>
    </row>
    <row r="39" spans="1:4" x14ac:dyDescent="0.25">
      <c r="A39" s="189">
        <v>32</v>
      </c>
      <c r="B39" s="408" t="s">
        <v>989</v>
      </c>
      <c r="C39" s="434"/>
      <c r="D39" s="92" cm="1">
        <f t="array" ref="D39">(SUMPRODUCT((Cube!$A$2:$A$10001="MOBILISE")*(Cube!$B$2:$B$10001="Geographic Distribution")*(Cube!$C$2:$C$10001=TEXT(A39,"00"))*(Cube!$E$2:$E$10001)))/(SUMPRODUCT((Cube!$A$2:$A$10001="MOBILISE")*(Cube!$B$2:$B$10001="Summary")*(Cube!$C$2:$C$10001="MTKRDC")*(Cube!$E$2:$E$10001)))</f>
        <v>7.4013974353582757E-2</v>
      </c>
    </row>
    <row r="40" spans="1:4" x14ac:dyDescent="0.25">
      <c r="A40" s="189">
        <v>11</v>
      </c>
      <c r="B40" s="408" t="s">
        <v>991</v>
      </c>
      <c r="C40" s="434"/>
      <c r="D40" s="92" cm="1">
        <f t="array" ref="D40">(SUMPRODUCT((Cube!$A$2:$A$10001="MOBILISE")*(Cube!$B$2:$B$10001="Geographic Distribution")*(Cube!$C$2:$C$10001=TEXT(A40,"00"))*(Cube!$E$2:$E$10001)))/(SUMPRODUCT((Cube!$A$2:$A$10001="MOBILISE")*(Cube!$B$2:$B$10001="Summary")*(Cube!$C$2:$C$10001="MTKRDC")*(Cube!$E$2:$E$10001)))</f>
        <v>0.17289080195802814</v>
      </c>
    </row>
    <row r="41" spans="1:4" x14ac:dyDescent="0.25">
      <c r="A41" s="189">
        <v>28</v>
      </c>
      <c r="B41" s="408" t="s">
        <v>993</v>
      </c>
      <c r="C41" s="434"/>
      <c r="D41" s="92" cm="1">
        <f t="array" ref="D41">(SUMPRODUCT((Cube!$A$2:$A$10001="MOBILISE")*(Cube!$B$2:$B$10001="Geographic Distribution")*(Cube!$C$2:$C$10001=TEXT(A41,"00"))*(Cube!$E$2:$E$10001)))/(SUMPRODUCT((Cube!$A$2:$A$10001="MOBILISE")*(Cube!$B$2:$B$10001="Summary")*(Cube!$C$2:$C$10001="MTKRDC")*(Cube!$E$2:$E$10001)))</f>
        <v>3.2744791059081034E-2</v>
      </c>
    </row>
    <row r="42" spans="1:4" x14ac:dyDescent="0.25">
      <c r="A42" s="189">
        <v>75</v>
      </c>
      <c r="B42" s="408" t="s">
        <v>995</v>
      </c>
      <c r="C42" s="434"/>
      <c r="D42" s="92" cm="1">
        <f t="array" ref="D42">(SUMPRODUCT((Cube!$A$2:$A$10001="MOBILISE")*(Cube!$B$2:$B$10001="Geographic Distribution")*(Cube!$C$2:$C$10001=TEXT(A42,"00"))*(Cube!$E$2:$E$10001)))/(SUMPRODUCT((Cube!$A$2:$A$10001="MOBILISE")*(Cube!$B$2:$B$10001="Summary")*(Cube!$C$2:$C$10001="MTKRDC")*(Cube!$E$2:$E$10001)))</f>
        <v>8.9647815028228411E-2</v>
      </c>
    </row>
    <row r="43" spans="1:4" x14ac:dyDescent="0.25">
      <c r="A43" s="189">
        <v>76</v>
      </c>
      <c r="B43" s="408" t="s">
        <v>997</v>
      </c>
      <c r="C43" s="434"/>
      <c r="D43" s="92" cm="1">
        <f t="array" ref="D43">(SUMPRODUCT((Cube!$A$2:$A$10001="MOBILISE")*(Cube!$B$2:$B$10001="Geographic Distribution")*(Cube!$C$2:$C$10001=TEXT(A43,"00"))*(Cube!$E$2:$E$10001)))/(SUMPRODUCT((Cube!$A$2:$A$10001="MOBILISE")*(Cube!$B$2:$B$10001="Summary")*(Cube!$C$2:$C$10001="MTKRDC")*(Cube!$E$2:$E$10001)))</f>
        <v>0.10941807946605876</v>
      </c>
    </row>
    <row r="44" spans="1:4" x14ac:dyDescent="0.25">
      <c r="A44" s="189" t="s">
        <v>1000</v>
      </c>
      <c r="B44" s="408" t="s">
        <v>999</v>
      </c>
      <c r="C44" s="434"/>
      <c r="D44" s="92" cm="1">
        <f t="array" ref="D44">(SUMPRODUCT((Cube!$A$2:$A$10001="MOBILISE")*(Cube!$B$2:$B$10001="Geographic Distribution")*(Cube!$C$2:$C$10001=TEXT(A44,"00"))*(Cube!$E$2:$E$10001)))/(SUMPRODUCT((Cube!$A$2:$A$10001="MOBILISE")*(Cube!$B$2:$B$10001="Summary")*(Cube!$C$2:$C$10001="MTKRDC")*(Cube!$E$2:$E$10001)))</f>
        <v>1.0450496400555079E-2</v>
      </c>
    </row>
    <row r="45" spans="1:4" x14ac:dyDescent="0.25">
      <c r="A45" s="189">
        <v>52</v>
      </c>
      <c r="B45" s="408" t="s">
        <v>1002</v>
      </c>
      <c r="C45" s="434"/>
      <c r="D45" s="92" cm="1">
        <f t="array" ref="D45">(SUMPRODUCT((Cube!$A$2:$A$10001="MOBILISE")*(Cube!$B$2:$B$10001="Geographic Distribution")*(Cube!$C$2:$C$10001=TEXT(A45,"00"))*(Cube!$E$2:$E$10001)))/(SUMPRODUCT((Cube!$A$2:$A$10001="MOBILISE")*(Cube!$B$2:$B$10001="Summary")*(Cube!$C$2:$C$10001="MTKRDC")*(Cube!$E$2:$E$10001)))</f>
        <v>5.5783919049009312E-2</v>
      </c>
    </row>
    <row r="46" spans="1:4" x14ac:dyDescent="0.25">
      <c r="A46" s="189">
        <v>93</v>
      </c>
      <c r="B46" s="408" t="s">
        <v>1004</v>
      </c>
      <c r="C46" s="434"/>
      <c r="D46" s="92" cm="1">
        <f t="array" ref="D46">(SUMPRODUCT((Cube!$A$2:$A$10001="MOBILISE")*(Cube!$B$2:$B$10001="Geographic Distribution")*(Cube!$C$2:$C$10001=TEXT(A46,"00"))*(Cube!$E$2:$E$10001)))/(SUMPRODUCT((Cube!$A$2:$A$10001="MOBILISE")*(Cube!$B$2:$B$10001="Summary")*(Cube!$C$2:$C$10001="MTKRDC")*(Cube!$E$2:$E$10001)))</f>
        <v>0.10996613398807141</v>
      </c>
    </row>
    <row r="47" spans="1:4" hidden="1" x14ac:dyDescent="0.25">
      <c r="A47" s="189" t="s">
        <v>1010</v>
      </c>
      <c r="B47" s="408"/>
      <c r="C47" s="434"/>
      <c r="D47" s="92" cm="1">
        <f t="array" ref="D47">(SUMPRODUCT((Cube!$A$2:$A$10001="MOBILISE")*(Cube!$B$2:$B$10001="Geographic Distribution")*(Cube!$C$2:$C$10001=TEXT(A47,"00"))*(Cube!$E$2:$E$10001)))/(SUMPRODUCT((Cube!$A$2:$A$10001="MOBILISE")*(Cube!$B$2:$B$10001="Summary")*(Cube!$C$2:$C$10001="MTKRDC")*(Cube!$E$2:$E$10001)))</f>
        <v>1.5379793982578212E-4</v>
      </c>
    </row>
    <row r="48" spans="1:4" hidden="1" x14ac:dyDescent="0.25">
      <c r="A48" s="189"/>
      <c r="B48" s="408"/>
      <c r="C48" s="434"/>
      <c r="D48" s="92" cm="1">
        <f t="array" ref="D48">(SUMPRODUCT((Cube!$A$2:$A$10001="MOBILISE")*(Cube!$B$2:$B$10001="Geographic Distribution")*(Cube!$C$2:$C$10001=TEXT(A48,"00"))*(Cube!$E$2:$E$10001)))/(SUMPRODUCT((Cube!$A$2:$A$10001="MOBILISE")*(Cube!$B$2:$B$10001="Summary")*(Cube!$C$2:$C$10001="MTKRDC")*(Cube!$E$2:$E$10001)))</f>
        <v>0</v>
      </c>
    </row>
    <row r="49" spans="1:8" hidden="1" x14ac:dyDescent="0.25">
      <c r="A49" s="189"/>
      <c r="B49" s="408"/>
      <c r="C49" s="434"/>
      <c r="D49" s="92" cm="1">
        <f t="array" ref="D49">(SUMPRODUCT((Cube!$A$2:$A$10001="MOBILISE")*(Cube!$B$2:$B$10001="Geographic Distribution")*(Cube!$C$2:$C$10001=TEXT(A49,"00"))*(Cube!$E$2:$E$10001)))/(SUMPRODUCT((Cube!$A$2:$A$10001="MOBILISE")*(Cube!$B$2:$B$10001="Summary")*(Cube!$C$2:$C$10001="MTKRDC")*(Cube!$E$2:$E$10001)))</f>
        <v>0</v>
      </c>
    </row>
    <row r="50" spans="1:8" hidden="1" x14ac:dyDescent="0.25">
      <c r="A50" s="189"/>
      <c r="B50" s="408"/>
      <c r="C50" s="434"/>
      <c r="D50" s="92" cm="1">
        <f t="array" ref="D50">(SUMPRODUCT((Cube!$A$2:$A$10001="MOBILISE")*(Cube!$B$2:$B$10001="Geographic Distribution")*(Cube!$C$2:$C$10001=TEXT(A50,"00"))*(Cube!$E$2:$E$10001)))/(SUMPRODUCT((Cube!$A$2:$A$10001="MOBILISE")*(Cube!$B$2:$B$10001="Summary")*(Cube!$C$2:$C$10001="MTKRDC")*(Cube!$E$2:$E$10001)))</f>
        <v>0</v>
      </c>
    </row>
    <row r="51" spans="1:8" hidden="1" x14ac:dyDescent="0.25">
      <c r="A51" s="189"/>
      <c r="B51" s="408"/>
      <c r="C51" s="434"/>
      <c r="D51" s="92" cm="1">
        <f t="array" ref="D51">(SUMPRODUCT((Cube!$A$2:$A$10001="MOBILISE")*(Cube!$B$2:$B$10001="Geographic Distribution")*(Cube!$C$2:$C$10001=TEXT(A51,"00"))*(Cube!$E$2:$E$10001)))/(SUMPRODUCT((Cube!$A$2:$A$10001="MOBILISE")*(Cube!$B$2:$B$10001="Summary")*(Cube!$C$2:$C$10001="MTKRDC")*(Cube!$E$2:$E$10001)))</f>
        <v>0</v>
      </c>
    </row>
    <row r="52" spans="1:8" hidden="1" x14ac:dyDescent="0.25">
      <c r="A52" s="189"/>
      <c r="B52" s="408"/>
      <c r="C52" s="434"/>
      <c r="D52" s="92" cm="1">
        <f t="array" ref="D52">(SUMPRODUCT((Cube!$A$2:$A$10001="MOBILISE")*(Cube!$B$2:$B$10001="Geographic Distribution")*(Cube!$C$2:$C$10001=TEXT(A52,"00"))*(Cube!$E$2:$E$10001)))/(SUMPRODUCT((Cube!$A$2:$A$10001="MOBILISE")*(Cube!$B$2:$B$10001="Summary")*(Cube!$C$2:$C$10001="MTKRDC")*(Cube!$E$2:$E$10001)))</f>
        <v>0</v>
      </c>
    </row>
    <row r="53" spans="1:8" hidden="1" x14ac:dyDescent="0.25">
      <c r="A53" s="189"/>
      <c r="B53" s="408"/>
      <c r="C53" s="434"/>
      <c r="D53" s="92" cm="1">
        <f t="array" ref="D53">(SUMPRODUCT((Cube!$A$2:$A$10001="MOBILISE")*(Cube!$B$2:$B$10001="Geographic Distribution")*(Cube!$C$2:$C$10001=TEXT(A53,"00"))*(Cube!$E$2:$E$10001)))/(SUMPRODUCT((Cube!$A$2:$A$10001="MOBILISE")*(Cube!$B$2:$B$10001="Summary")*(Cube!$C$2:$C$10001="MTKRDC")*(Cube!$E$2:$E$10001)))</f>
        <v>0</v>
      </c>
    </row>
    <row r="54" spans="1:8" hidden="1" x14ac:dyDescent="0.25">
      <c r="A54" s="189"/>
      <c r="B54" s="408"/>
      <c r="C54" s="434"/>
      <c r="D54" s="92" cm="1">
        <f t="array" ref="D54">(SUMPRODUCT((Cube!$A$2:$A$10001="MOBILISE")*(Cube!$B$2:$B$10001="Geographic Distribution")*(Cube!$C$2:$C$10001=TEXT(A54,"00"))*(Cube!$E$2:$E$10001)))/(SUMPRODUCT((Cube!$A$2:$A$10001="MOBILISE")*(Cube!$B$2:$B$10001="Summary")*(Cube!$C$2:$C$10001="MTKRDC")*(Cube!$E$2:$E$10001)))</f>
        <v>0</v>
      </c>
    </row>
    <row r="55" spans="1:8" hidden="1" x14ac:dyDescent="0.25">
      <c r="A55" s="189"/>
      <c r="B55" s="408"/>
      <c r="C55" s="434"/>
      <c r="D55" s="92" cm="1">
        <f t="array" ref="D55">(SUMPRODUCT((Cube!$A$2:$A$10001="MOBILISE")*(Cube!$B$2:$B$10001="Geographic Distribution")*(Cube!$C$2:$C$10001=TEXT(A55,"00"))*(Cube!$E$2:$E$10001)))/(SUMPRODUCT((Cube!$A$2:$A$10001="MOBILISE")*(Cube!$B$2:$B$10001="Summary")*(Cube!$C$2:$C$10001="MTKRDC")*(Cube!$E$2:$E$10001)))</f>
        <v>0</v>
      </c>
    </row>
    <row r="56" spans="1:8" x14ac:dyDescent="0.25">
      <c r="A56" s="189"/>
      <c r="B56" s="408"/>
      <c r="C56" s="434"/>
      <c r="D56" s="92"/>
    </row>
    <row r="57" spans="1:8" x14ac:dyDescent="0.25">
      <c r="A57" s="189"/>
      <c r="B57" s="408" t="s">
        <v>1007</v>
      </c>
      <c r="C57" s="434"/>
      <c r="D57" s="92" cm="1">
        <f t="array" ref="D57">(SUMPRODUCT((Cube!$A$2:$A$10001="MOBILISE")*(Cube!$B$2:$B$10001="Geographic Distribution")*(Cube!$C$2:$C$10001=TEXT(A57,"00"))*(Cube!$E$2:$E$10001)))/(SUMPRODUCT((Cube!$A$2:$A$10001="MOBILISE")*(Cube!$B$2:$B$10001="Summary")*(Cube!$C$2:$C$10001="MTKRDC")*(Cube!$E$2:$E$10001)))</f>
        <v>0</v>
      </c>
    </row>
    <row r="58" spans="1:8" x14ac:dyDescent="0.25">
      <c r="A58" s="189" t="s">
        <v>1010</v>
      </c>
      <c r="B58" s="410" t="s">
        <v>1009</v>
      </c>
      <c r="C58" s="435"/>
      <c r="D58" s="190" cm="1">
        <f t="array" ref="D58">(SUMPRODUCT((Cube!$A$2:$A$10001="MOBILISE")*(Cube!$B$2:$B$10001="Geographic Distribution")*(Cube!$C$2:$C$10001=A58)*(Cube!$E$2:$E$10001)))/(SUMPRODUCT((Cube!$A$2:$A$10001="MOBILISE")*(Cube!$B$2:$B$10001="Summary")*(Cube!$C$2:$C$10001="MTKRDC")*(Cube!$E$2:$E$10001)))</f>
        <v>1.5379793982578212E-4</v>
      </c>
    </row>
    <row r="59" spans="1:8" x14ac:dyDescent="0.25">
      <c r="B59" s="28"/>
      <c r="C59" s="28"/>
    </row>
    <row r="61" spans="1:8" s="22" customFormat="1" x14ac:dyDescent="0.25">
      <c r="A61" s="33" t="s">
        <v>3352</v>
      </c>
      <c r="B61" s="24" t="s">
        <v>3353</v>
      </c>
    </row>
    <row r="62" spans="1:8" s="22" customFormat="1" x14ac:dyDescent="0.25">
      <c r="A62" s="33"/>
      <c r="B62" s="24"/>
    </row>
    <row r="63" spans="1:8" s="22" customFormat="1" x14ac:dyDescent="0.25">
      <c r="A63" s="33"/>
      <c r="B63" s="631" t="s">
        <v>3354</v>
      </c>
      <c r="C63" s="631"/>
      <c r="D63" s="98" cm="1">
        <f t="array" ref="D63">(SUMPRODUCT((Cube!$A$2:$A$9999="MOBILISE")*(Cube!$B$2:$C$9999="ENMTLTV")*(Cube!$H$2:$H$9999)))</f>
        <v>0.67</v>
      </c>
      <c r="E63" s="478"/>
      <c r="F63" s="478"/>
    </row>
    <row r="64" spans="1:8" x14ac:dyDescent="0.25">
      <c r="E64" s="478"/>
      <c r="F64" s="478"/>
      <c r="G64" s="22"/>
      <c r="H64" s="22"/>
    </row>
    <row r="65" spans="2:10" x14ac:dyDescent="0.25">
      <c r="B65" s="390"/>
      <c r="C65" s="483" t="s">
        <v>3355</v>
      </c>
      <c r="D65" s="417" t="s">
        <v>3347</v>
      </c>
      <c r="E65" s="478"/>
      <c r="F65" s="478"/>
      <c r="G65" s="22"/>
      <c r="H65" s="22"/>
      <c r="J65" s="33"/>
    </row>
    <row r="66" spans="2:10" x14ac:dyDescent="0.25">
      <c r="B66" s="484" t="s">
        <v>3356</v>
      </c>
      <c r="C66" s="485" t="s">
        <v>3357</v>
      </c>
      <c r="D66" s="94" cm="1">
        <f t="array" ref="D66">(SUMPRODUCT((Cube!$A$2:$A$10001="MOBILISE")*(Cube!$B$2:$B$10001="Unindexed LTV Range")*(Cube!$C$2:$C$10001=E66)*(Cube!$E$2:$E$10001)))/(SUMPRODUCT((Cube!$A$2:$A$10001="MOBILISE")*(Cube!$B$2:$B$10001="Summary")*(Cube!$C$2:$C$10001="MTKRDC")*(Cube!$E$2:$E$10001)))</f>
        <v>0.1161415004597002</v>
      </c>
      <c r="E66" s="478" t="s">
        <v>565</v>
      </c>
      <c r="F66" s="478" cm="1">
        <f t="array" ref="F66">IFERROR((SUMPRODUCT((Cube!$A$2:$A$10001="MOBILISE")*(Cube!$B$2:$B$10001="Unindexed LTV Range")*(Cube!$C$2:$C$10001=E66)*(Cube!$D$2:$D$10001))),0)</f>
        <v>265092</v>
      </c>
      <c r="G66" s="22"/>
      <c r="H66" s="26"/>
    </row>
    <row r="67" spans="2:10" x14ac:dyDescent="0.25">
      <c r="B67" s="405"/>
      <c r="C67" s="486" t="s">
        <v>3358</v>
      </c>
      <c r="D67" s="94" cm="1">
        <f t="array" ref="D67">(SUMPRODUCT((Cube!$A$2:$A$10001="MOBILISE")*(Cube!$B$2:$B$10001="Unindexed LTV Range")*(Cube!$C$2:$C$10001=E67)*(Cube!$E$2:$E$10001)))/(SUMPRODUCT((Cube!$A$2:$A$10001="MOBILISE")*(Cube!$B$2:$B$10001="Summary")*(Cube!$C$2:$C$10001="MTKRDC")*(Cube!$E$2:$E$10001)))</f>
        <v>8.3217985513480003E-2</v>
      </c>
      <c r="E67" s="478" t="s">
        <v>568</v>
      </c>
      <c r="F67" s="478" cm="1">
        <f t="array" ref="F67">IFERROR((SUMPRODUCT((Cube!$A$2:$A$10001="MOBILISE")*(Cube!$B$2:$B$10001="Unindexed LTV Range")*(Cube!$C$2:$C$10001=E67)*(Cube!$D$2:$D$10001))),0)</f>
        <v>99634</v>
      </c>
      <c r="G67" s="22"/>
      <c r="H67" s="26"/>
    </row>
    <row r="68" spans="2:10" x14ac:dyDescent="0.25">
      <c r="B68" s="405"/>
      <c r="C68" s="486" t="s">
        <v>3359</v>
      </c>
      <c r="D68" s="94" cm="1">
        <f t="array" ref="D68">(SUMPRODUCT((Cube!$A$2:$A$10001="MOBILISE")*(Cube!$B$2:$B$10001="Unindexed LTV Range")*(Cube!$C$2:$C$10001=E68)*(Cube!$E$2:$E$10001)))/(SUMPRODUCT((Cube!$A$2:$A$10001="MOBILISE")*(Cube!$B$2:$B$10001="Summary")*(Cube!$C$2:$C$10001="MTKRDC")*(Cube!$E$2:$E$10001)))</f>
        <v>0.11656495979469915</v>
      </c>
      <c r="E68" s="478" t="s">
        <v>571</v>
      </c>
      <c r="F68" s="478" cm="1">
        <f t="array" ref="F68">IFERROR((SUMPRODUCT((Cube!$A$2:$A$10001="MOBILISE")*(Cube!$B$2:$B$10001="Unindexed LTV Range")*(Cube!$C$2:$C$10001=E68)*(Cube!$D$2:$D$10001))),0)</f>
        <v>119103</v>
      </c>
      <c r="G68" s="22"/>
      <c r="H68" s="26"/>
    </row>
    <row r="69" spans="2:10" x14ac:dyDescent="0.25">
      <c r="B69" s="405"/>
      <c r="C69" s="486" t="s">
        <v>3360</v>
      </c>
      <c r="D69" s="94" cm="1">
        <f t="array" ref="D69">(SUMPRODUCT((Cube!$A$2:$A$10001="MOBILISE")*(Cube!$B$2:$B$10001="Unindexed LTV Range")*(Cube!$C$2:$C$10001=E69)*(Cube!$E$2:$E$10001)))/(SUMPRODUCT((Cube!$A$2:$A$10001="MOBILISE")*(Cube!$B$2:$B$10001="Summary")*(Cube!$C$2:$C$10001="MTKRDC")*(Cube!$E$2:$E$10001)))</f>
        <v>0.1494243005320664</v>
      </c>
      <c r="E69" s="478" t="s">
        <v>574</v>
      </c>
      <c r="F69" s="478" cm="1">
        <f t="array" ref="F69">IFERROR((SUMPRODUCT((Cube!$A$2:$A$10001="MOBILISE")*(Cube!$B$2:$B$10001="Unindexed LTV Range")*(Cube!$C$2:$C$10001=E69)*(Cube!$D$2:$D$10001))),0)</f>
        <v>134286</v>
      </c>
      <c r="G69" s="22"/>
      <c r="H69" s="26"/>
    </row>
    <row r="70" spans="2:10" x14ac:dyDescent="0.25">
      <c r="B70" s="405"/>
      <c r="C70" s="486" t="s">
        <v>3361</v>
      </c>
      <c r="D70" s="94" cm="1">
        <f t="array" ref="D70">(SUMPRODUCT((Cube!$A$2:$A$10001="MOBILISE")*(Cube!$B$2:$B$10001="Unindexed LTV Range")*(Cube!$C$2:$C$10001=E70)*(Cube!$E$2:$E$10001)))/(SUMPRODUCT((Cube!$A$2:$A$10001="MOBILISE")*(Cube!$B$2:$B$10001="Summary")*(Cube!$C$2:$C$10001="MTKRDC")*(Cube!$E$2:$E$10001)))</f>
        <v>0.20167903173638135</v>
      </c>
      <c r="E70" s="478" t="s">
        <v>577</v>
      </c>
      <c r="F70" s="478" cm="1">
        <f t="array" ref="F70">IFERROR((SUMPRODUCT((Cube!$A$2:$A$10001="MOBILISE")*(Cube!$B$2:$B$10001="Unindexed LTV Range")*(Cube!$C$2:$C$10001=E70)*(Cube!$D$2:$D$10001))),0)</f>
        <v>153268</v>
      </c>
      <c r="G70" s="22"/>
      <c r="H70" s="26"/>
    </row>
    <row r="71" spans="2:10" x14ac:dyDescent="0.25">
      <c r="B71" s="405"/>
      <c r="C71" s="486" t="s">
        <v>3362</v>
      </c>
      <c r="D71" s="94" cm="1">
        <f t="array" ref="D71">(SUMPRODUCT((Cube!$A$2:$A$10001="MOBILISE")*(Cube!$B$2:$B$10001="Unindexed LTV Range")*(Cube!$C$2:$C$10001=E71)*(Cube!$E$2:$E$10001)))/(SUMPRODUCT((Cube!$A$2:$A$10001="MOBILISE")*(Cube!$B$2:$B$10001="Summary")*(Cube!$C$2:$C$10001="MTKRDC")*(Cube!$E$2:$E$10001)))</f>
        <v>0.12018483377771869</v>
      </c>
      <c r="E71" s="478" t="s">
        <v>580</v>
      </c>
      <c r="F71" s="478" cm="1">
        <f t="array" ref="F71">IFERROR((SUMPRODUCT((Cube!$A$2:$A$10001="MOBILISE")*(Cube!$B$2:$B$10001="Unindexed LTV Range")*(Cube!$C$2:$C$10001=E71)*(Cube!$D$2:$D$10001))),0)</f>
        <v>77085</v>
      </c>
      <c r="G71" s="22"/>
      <c r="H71" s="26"/>
    </row>
    <row r="72" spans="2:10" x14ac:dyDescent="0.25">
      <c r="B72" s="405"/>
      <c r="C72" s="486" t="s">
        <v>3363</v>
      </c>
      <c r="D72" s="94" cm="1">
        <f t="array" ref="D72">(SUMPRODUCT((Cube!$A$2:$A$10001="MOBILISE")*(Cube!$B$2:$B$10001="Unindexed LTV Range")*(Cube!$C$2:$C$10001=E72)*(Cube!$E$2:$E$10001)))/(SUMPRODUCT((Cube!$A$2:$A$10001="MOBILISE")*(Cube!$B$2:$B$10001="Summary")*(Cube!$C$2:$C$10001="MTKRDC")*(Cube!$E$2:$E$10001)))</f>
        <v>0.11097974280136404</v>
      </c>
      <c r="E72" s="478" t="s">
        <v>581</v>
      </c>
      <c r="F72" s="478" cm="1">
        <f t="array" ref="F72">IFERROR((SUMPRODUCT((Cube!$A$2:$A$10001="MOBILISE")*(Cube!$B$2:$B$10001="Unindexed LTV Range")*(Cube!$C$2:$C$10001=E72)*(Cube!$D$2:$D$10001))),0)</f>
        <v>65824</v>
      </c>
      <c r="G72" s="22"/>
      <c r="H72" s="26"/>
    </row>
    <row r="73" spans="2:10" x14ac:dyDescent="0.25">
      <c r="B73" s="405"/>
      <c r="C73" s="486" t="s">
        <v>3364</v>
      </c>
      <c r="D73" s="94" cm="1">
        <f t="array" ref="D73">(SUMPRODUCT((Cube!$A$2:$A$10001="MOBILISE")*(Cube!$B$2:$B$10001="Unindexed LTV Range")*(Cube!$C$2:$C$10001=E73)*(Cube!$E$2:$E$10001)))/(SUMPRODUCT((Cube!$A$2:$A$10001="MOBILISE")*(Cube!$B$2:$B$10001="Summary")*(Cube!$C$2:$C$10001="MTKRDC")*(Cube!$E$2:$E$10001)))</f>
        <v>6.8709408395289981E-2</v>
      </c>
      <c r="E73" s="478" t="s">
        <v>584</v>
      </c>
      <c r="F73" s="478" cm="1">
        <f t="array" ref="F73">IFERROR((SUMPRODUCT((Cube!$A$2:$A$10001="MOBILISE")*(Cube!$B$2:$B$10001="Unindexed LTV Range")*(Cube!$C$2:$C$10001=E73)*(Cube!$D$2:$D$10001))),0)</f>
        <v>38899</v>
      </c>
      <c r="G73" s="22"/>
      <c r="H73" s="26"/>
    </row>
    <row r="74" spans="2:10" x14ac:dyDescent="0.25">
      <c r="B74" s="405"/>
      <c r="C74" s="486" t="s">
        <v>3365</v>
      </c>
      <c r="D74" s="94" cm="1">
        <f t="array" ref="D74">(SUMPRODUCT((Cube!$A$2:$A$10001="MOBILISE")*(Cube!$B$2:$B$10001="Unindexed LTV Range")*(Cube!$C$2:$C$10001=E74)*(Cube!$E$2:$E$10001)))/(SUMPRODUCT((Cube!$A$2:$A$10001="MOBILISE")*(Cube!$B$2:$B$10001="Summary")*(Cube!$C$2:$C$10001="MTKRDC")*(Cube!$E$2:$E$10001)))</f>
        <v>3.3098236989300256E-2</v>
      </c>
      <c r="E74" s="478" t="s">
        <v>585</v>
      </c>
      <c r="F74" s="478" cm="1">
        <f t="array" ref="F74">IFERROR((SUMPRODUCT((Cube!$A$2:$A$10001="MOBILISE")*(Cube!$B$2:$B$10001="Unindexed LTV Range")*(Cube!$C$2:$C$10001=E74)*(Cube!$D$2:$D$10001))),0)</f>
        <v>18033</v>
      </c>
      <c r="G74" s="22"/>
      <c r="H74" s="26"/>
    </row>
    <row r="75" spans="2:10" x14ac:dyDescent="0.25">
      <c r="B75" s="405"/>
      <c r="C75" s="486" t="s">
        <v>3366</v>
      </c>
      <c r="D75" s="94" cm="1">
        <f t="array" ref="D75">(SUMPRODUCT((Cube!$A$2:$A$10001="MOBILISE")*(Cube!$B$2:$B$10001="Unindexed LTV Range")*(Cube!$C$2:$C$10001=E75)*(Cube!$E$2:$E$10001)))/(SUMPRODUCT((Cube!$A$2:$A$10001="MOBILISE")*(Cube!$B$2:$B$10001="Summary")*(Cube!$C$2:$C$10001="MTKRDC")*(Cube!$E$2:$E$10001)))</f>
        <v>0</v>
      </c>
      <c r="E75" s="478" t="s">
        <v>588</v>
      </c>
      <c r="F75" s="478" cm="1">
        <f t="array" ref="F75">IFERROR((SUMPRODUCT((Cube!$A$2:$A$10001="MOBILISE")*(Cube!$B$2:$B$10001="Unindexed LTV Range")*(Cube!$C$2:$C$10001=E75)*(Cube!$D$2:$D$10001))),0)</f>
        <v>0</v>
      </c>
      <c r="G75" s="22"/>
      <c r="H75" s="26"/>
    </row>
    <row r="76" spans="2:10" x14ac:dyDescent="0.25">
      <c r="B76" s="405"/>
      <c r="C76" s="486" t="s">
        <v>3367</v>
      </c>
      <c r="D76" s="94" cm="1">
        <f t="array" ref="D76">(SUMPRODUCT((Cube!$A$2:$A$10001="MOBILISE")*(Cube!$B$2:$B$10001="Unindexed LTV Range")*(Cube!$C$2:$C$10001=E76)*(Cube!$E$2:$E$10001)))/(SUMPRODUCT((Cube!$A$2:$A$10001="MOBILISE")*(Cube!$B$2:$B$10001="Summary")*(Cube!$C$2:$C$10001="MTKRDC")*(Cube!$E$2:$E$10001)))</f>
        <v>0</v>
      </c>
      <c r="E76" s="478" t="s">
        <v>589</v>
      </c>
      <c r="F76" s="478" cm="1">
        <f t="array" ref="F76">IFERROR((SUMPRODUCT((Cube!$A$2:$A$10001="MOBILISE")*(Cube!$B$2:$B$10001="Unindexed LTV Range")*(Cube!$C$2:$C$10001=E76)*(Cube!$D$2:$D$10001))),0)</f>
        <v>0</v>
      </c>
      <c r="G76" s="22"/>
      <c r="H76" s="26"/>
    </row>
    <row r="77" spans="2:10" x14ac:dyDescent="0.25">
      <c r="B77" s="405"/>
      <c r="C77" s="486" t="s">
        <v>3368</v>
      </c>
      <c r="D77" s="94" cm="1">
        <f t="array" ref="D77">(SUMPRODUCT((Cube!$A$2:$A$10001="MOBILISE")*(Cube!$B$2:$B$10001="Unindexed LTV Range")*(Cube!$C$2:$C$10001=E77)*(Cube!$E$2:$E$10001)))/(SUMPRODUCT((Cube!$A$2:$A$10001="MOBILISE")*(Cube!$B$2:$B$10001="Summary")*(Cube!$C$2:$C$10001="MTKRDC")*(Cube!$E$2:$E$10001)))</f>
        <v>0</v>
      </c>
      <c r="E77" s="478"/>
      <c r="F77" s="478" cm="1">
        <f t="array" ref="F77">IFERROR((SUMPRODUCT((Cube!$A$2:$A$10001="MOBILISE")*(Cube!$B$2:$B$10001="Unindexed LTV Range")*(Cube!$C$2:$C$10001=E77)*(Cube!$D$2:$D$10001))),0)</f>
        <v>0</v>
      </c>
      <c r="G77" s="22"/>
      <c r="H77" s="26"/>
    </row>
    <row r="78" spans="2:10" x14ac:dyDescent="0.25">
      <c r="B78" s="393"/>
      <c r="C78" s="487" t="s">
        <v>3369</v>
      </c>
      <c r="D78" s="190" cm="1">
        <f t="array" ref="D78">(SUMPRODUCT((Cube!$A$2:$A$10001="MOBILISE")*(Cube!$B$2:$B$10001="Unindexed LTV Range")*(Cube!$C$2:$C$10001=E78)*(Cube!$E$2:$E$10001)))/(SUMPRODUCT((Cube!$A$2:$A$10001="MOBILISE")*(Cube!$B$2:$B$10001="Summary")*(Cube!$C$2:$C$10001="MTKRDC")*(Cube!$E$2:$E$10001)))</f>
        <v>0</v>
      </c>
      <c r="E78" s="478"/>
      <c r="F78" s="478" cm="1">
        <f t="array" ref="F78">IFERROR((SUMPRODUCT((Cube!$A$2:$A$10001="MOBILISE")*(Cube!$B$2:$B$10001="Unindexed LTV Range")*(Cube!$C$2:$C$10001=E78)*(Cube!$D$2:$D$10001))),0)</f>
        <v>0</v>
      </c>
      <c r="G78" s="26"/>
      <c r="H78" s="26"/>
    </row>
    <row r="79" spans="2:10" x14ac:dyDescent="0.25">
      <c r="E79" s="478" t="s">
        <v>352</v>
      </c>
      <c r="F79" s="478"/>
      <c r="G79" s="26"/>
      <c r="H79" s="26"/>
    </row>
    <row r="80" spans="2:10" x14ac:dyDescent="0.25">
      <c r="E80" s="478"/>
      <c r="F80" s="478"/>
      <c r="G80" s="26"/>
      <c r="H80" s="26"/>
    </row>
    <row r="81" spans="1:9" s="22" customFormat="1" x14ac:dyDescent="0.25">
      <c r="A81" s="33" t="s">
        <v>3370</v>
      </c>
      <c r="B81" s="24" t="s">
        <v>3371</v>
      </c>
      <c r="G81" s="27"/>
      <c r="H81" s="27"/>
    </row>
    <row r="82" spans="1:9" s="22" customFormat="1" x14ac:dyDescent="0.25">
      <c r="A82" s="33"/>
      <c r="B82" s="24"/>
      <c r="G82" s="27"/>
      <c r="H82" s="27"/>
    </row>
    <row r="83" spans="1:9" s="22" customFormat="1" x14ac:dyDescent="0.25">
      <c r="A83" s="33"/>
      <c r="B83" s="632" t="s">
        <v>3372</v>
      </c>
      <c r="C83" s="633"/>
      <c r="D83" s="98" cm="1">
        <f t="array" ref="D83">(SUMPRODUCT((Cube!$A$2:$A$9999="MOBILISE")*(Cube!$B$2:$C$9999="ENLTVIND")*(Cube!$H$2:$H$9999)))</f>
        <v>0.61</v>
      </c>
      <c r="G83" s="27"/>
      <c r="H83" s="27"/>
    </row>
    <row r="84" spans="1:9" s="22" customFormat="1" x14ac:dyDescent="0.25">
      <c r="A84" s="33"/>
      <c r="B84" s="24"/>
      <c r="G84" s="27"/>
      <c r="H84" s="27"/>
    </row>
    <row r="85" spans="1:9" x14ac:dyDescent="0.25">
      <c r="B85" s="390"/>
      <c r="C85" s="456" t="s">
        <v>3355</v>
      </c>
      <c r="D85" s="399" t="s">
        <v>3347</v>
      </c>
      <c r="E85" s="478"/>
      <c r="F85" s="478"/>
      <c r="G85" s="27"/>
      <c r="H85" s="27"/>
      <c r="I85" s="22"/>
    </row>
    <row r="86" spans="1:9" x14ac:dyDescent="0.25">
      <c r="B86" s="484" t="s">
        <v>3356</v>
      </c>
      <c r="C86" s="485" t="s">
        <v>3357</v>
      </c>
      <c r="D86" s="94" cm="1">
        <f t="array" ref="D86">(SUMPRODUCT((Cube!$A$2:$A$10001="MOBILISE")*(Cube!$B$2:$B$10001="Indexed LTV Range")*(Cube!$C$2:$C$10001=E86)*(Cube!$E$2:$E$10001)))/(SUMPRODUCT((Cube!$A$2:$A$10001="MOBILISE")*(Cube!$B$2:$B$10001="Summary")*(Cube!$C$2:$C$10001="MTKRDC")*(Cube!$E$2:$E$10001)))</f>
        <v>0.17725843099668404</v>
      </c>
      <c r="E86" s="478" t="s">
        <v>565</v>
      </c>
      <c r="F86" s="182" cm="1">
        <f t="array" ref="F86">IFERROR((SUMPRODUCT((Cube!$A$2:$A$10001="MOBILISE")*(Cube!$B$2:$B$10001="Indexed LTV Range")*(Cube!$C$2:$C$10001=E66)*(Cube!$D$2:$D$10001))),0)</f>
        <v>350114</v>
      </c>
      <c r="G86" s="27"/>
      <c r="H86" s="27"/>
      <c r="I86" s="22"/>
    </row>
    <row r="87" spans="1:9" x14ac:dyDescent="0.25">
      <c r="B87" s="405"/>
      <c r="C87" s="486" t="s">
        <v>3358</v>
      </c>
      <c r="D87" s="94" cm="1">
        <f t="array" ref="D87">(SUMPRODUCT((Cube!$A$2:$A$10001="MOBILISE")*(Cube!$B$2:$B$10001="Indexed LTV Range")*(Cube!$C$2:$C$10001=E87)*(Cube!$E$2:$E$10001)))/(SUMPRODUCT((Cube!$A$2:$A$10001="MOBILISE")*(Cube!$B$2:$B$10001="Summary")*(Cube!$C$2:$C$10001="MTKRDC")*(Cube!$E$2:$E$10001)))</f>
        <v>0.12527862961206723</v>
      </c>
      <c r="E87" s="478" t="s">
        <v>568</v>
      </c>
      <c r="F87" s="182" cm="1">
        <f t="array" ref="F87">IFERROR((SUMPRODUCT((Cube!$A$2:$A$10001="MOBILISE")*(Cube!$B$2:$B$10001="Indexed LTV Range")*(Cube!$C$2:$C$10001=E67)*(Cube!$D$2:$D$10001))),0)</f>
        <v>135450</v>
      </c>
      <c r="G87" s="27"/>
      <c r="H87" s="27"/>
      <c r="I87" s="22"/>
    </row>
    <row r="88" spans="1:9" x14ac:dyDescent="0.25">
      <c r="B88" s="405"/>
      <c r="C88" s="486" t="s">
        <v>3359</v>
      </c>
      <c r="D88" s="94" cm="1">
        <f t="array" ref="D88">(SUMPRODUCT((Cube!$A$2:$A$10001="MOBILISE")*(Cube!$B$2:$B$10001="Indexed LTV Range")*(Cube!$C$2:$C$10001=E88)*(Cube!$E$2:$E$10001)))/(SUMPRODUCT((Cube!$A$2:$A$10001="MOBILISE")*(Cube!$B$2:$B$10001="Summary")*(Cube!$C$2:$C$10001="MTKRDC")*(Cube!$E$2:$E$10001)))</f>
        <v>0.14555723985022484</v>
      </c>
      <c r="E88" s="478" t="s">
        <v>571</v>
      </c>
      <c r="F88" s="182" cm="1">
        <f t="array" ref="F88">IFERROR((SUMPRODUCT((Cube!$A$2:$A$10001="MOBILISE")*(Cube!$B$2:$B$10001="Indexed LTV Range")*(Cube!$C$2:$C$10001=E68)*(Cube!$D$2:$D$10001))),0)</f>
        <v>133357</v>
      </c>
      <c r="G88" s="27"/>
      <c r="H88" s="27"/>
      <c r="I88" s="22"/>
    </row>
    <row r="89" spans="1:9" x14ac:dyDescent="0.25">
      <c r="B89" s="405"/>
      <c r="C89" s="486" t="s">
        <v>3360</v>
      </c>
      <c r="D89" s="94" cm="1">
        <f t="array" ref="D89">(SUMPRODUCT((Cube!$A$2:$A$10001="MOBILISE")*(Cube!$B$2:$B$10001="Indexed LTV Range")*(Cube!$C$2:$C$10001=E89)*(Cube!$E$2:$E$10001)))/(SUMPRODUCT((Cube!$A$2:$A$10001="MOBILISE")*(Cube!$B$2:$B$10001="Summary")*(Cube!$C$2:$C$10001="MTKRDC")*(Cube!$E$2:$E$10001)))</f>
        <v>0.1503188302029925</v>
      </c>
      <c r="E89" s="478" t="s">
        <v>574</v>
      </c>
      <c r="F89" s="182" cm="1">
        <f t="array" ref="F89">IFERROR((SUMPRODUCT((Cube!$A$2:$A$10001="MOBILISE")*(Cube!$B$2:$B$10001="Indexed LTV Range")*(Cube!$C$2:$C$10001=E69)*(Cube!$D$2:$D$10001))),0)</f>
        <v>113528</v>
      </c>
      <c r="G89" s="27"/>
      <c r="H89" s="27"/>
      <c r="I89" s="22"/>
    </row>
    <row r="90" spans="1:9" x14ac:dyDescent="0.25">
      <c r="B90" s="405"/>
      <c r="C90" s="486" t="s">
        <v>3361</v>
      </c>
      <c r="D90" s="94" cm="1">
        <f t="array" ref="D90">(SUMPRODUCT((Cube!$A$2:$A$10001="MOBILISE")*(Cube!$B$2:$B$10001="Indexed LTV Range")*(Cube!$C$2:$C$10001=E90)*(Cube!$E$2:$E$10001)))/(SUMPRODUCT((Cube!$A$2:$A$10001="MOBILISE")*(Cube!$B$2:$B$10001="Summary")*(Cube!$C$2:$C$10001="MTKRDC")*(Cube!$E$2:$E$10001)))</f>
        <v>0.17087515270708217</v>
      </c>
      <c r="E90" s="478" t="s">
        <v>577</v>
      </c>
      <c r="F90" s="182" cm="1">
        <f t="array" ref="F90">IFERROR((SUMPRODUCT((Cube!$A$2:$A$10001="MOBILISE")*(Cube!$B$2:$B$10001="Indexed LTV Range")*(Cube!$C$2:$C$10001=E70)*(Cube!$D$2:$D$10001))),0)</f>
        <v>111232</v>
      </c>
      <c r="G90" s="27"/>
      <c r="H90" s="27"/>
      <c r="I90" s="22"/>
    </row>
    <row r="91" spans="1:9" x14ac:dyDescent="0.25">
      <c r="B91" s="405"/>
      <c r="C91" s="486" t="s">
        <v>3362</v>
      </c>
      <c r="D91" s="94" cm="1">
        <f t="array" ref="D91">(SUMPRODUCT((Cube!$A$2:$A$10001="MOBILISE")*(Cube!$B$2:$B$10001="Indexed LTV Range")*(Cube!$C$2:$C$10001=E91)*(Cube!$E$2:$E$10001)))/(SUMPRODUCT((Cube!$A$2:$A$10001="MOBILISE")*(Cube!$B$2:$B$10001="Summary")*(Cube!$C$2:$C$10001="MTKRDC")*(Cube!$E$2:$E$10001)))</f>
        <v>7.8077107862555534E-2</v>
      </c>
      <c r="E91" s="478" t="s">
        <v>580</v>
      </c>
      <c r="F91" s="182" cm="1">
        <f t="array" ref="F91">IFERROR((SUMPRODUCT((Cube!$A$2:$A$10001="MOBILISE")*(Cube!$B$2:$B$10001="Indexed LTV Range")*(Cube!$C$2:$C$10001=E71)*(Cube!$D$2:$D$10001))),0)</f>
        <v>46115</v>
      </c>
      <c r="G91" s="27"/>
      <c r="H91" s="27"/>
      <c r="I91" s="22"/>
    </row>
    <row r="92" spans="1:9" x14ac:dyDescent="0.25">
      <c r="B92" s="405"/>
      <c r="C92" s="486" t="s">
        <v>3363</v>
      </c>
      <c r="D92" s="94" cm="1">
        <f t="array" ref="D92">(SUMPRODUCT((Cube!$A$2:$A$10001="MOBILISE")*(Cube!$B$2:$B$10001="Indexed LTV Range")*(Cube!$C$2:$C$10001=E92)*(Cube!$E$2:$E$10001)))/(SUMPRODUCT((Cube!$A$2:$A$10001="MOBILISE")*(Cube!$B$2:$B$10001="Summary")*(Cube!$C$2:$C$10001="MTKRDC")*(Cube!$E$2:$E$10001)))</f>
        <v>6.1294298051992054E-2</v>
      </c>
      <c r="E92" s="478" t="s">
        <v>581</v>
      </c>
      <c r="F92" s="182" cm="1">
        <f t="array" ref="F92">IFERROR((SUMPRODUCT((Cube!$A$2:$A$10001="MOBILISE")*(Cube!$B$2:$B$10001="Indexed LTV Range")*(Cube!$C$2:$C$10001=E72)*(Cube!$D$2:$D$10001))),0)</f>
        <v>33607</v>
      </c>
      <c r="G92" s="27"/>
      <c r="H92" s="27"/>
      <c r="I92" s="22"/>
    </row>
    <row r="93" spans="1:9" x14ac:dyDescent="0.25">
      <c r="B93" s="405"/>
      <c r="C93" s="486" t="s">
        <v>3364</v>
      </c>
      <c r="D93" s="94" cm="1">
        <f t="array" ref="D93">(SUMPRODUCT((Cube!$A$2:$A$10001="MOBILISE")*(Cube!$B$2:$B$10001="Indexed LTV Range")*(Cube!$C$2:$C$10001=E93)*(Cube!$E$2:$E$10001)))/(SUMPRODUCT((Cube!$A$2:$A$10001="MOBILISE")*(Cube!$B$2:$B$10001="Summary")*(Cube!$C$2:$C$10001="MTKRDC")*(Cube!$E$2:$E$10001)))</f>
        <v>4.772315400003372E-2</v>
      </c>
      <c r="E93" s="478" t="s">
        <v>584</v>
      </c>
      <c r="F93" s="182" cm="1">
        <f t="array" ref="F93">IFERROR((SUMPRODUCT((Cube!$A$2:$A$10001="MOBILISE")*(Cube!$B$2:$B$10001="Indexed LTV Range")*(Cube!$C$2:$C$10001=E73)*(Cube!$D$2:$D$10001))),0)</f>
        <v>25470</v>
      </c>
      <c r="G93" s="27"/>
      <c r="H93" s="27"/>
      <c r="I93" s="22"/>
    </row>
    <row r="94" spans="1:9" x14ac:dyDescent="0.25">
      <c r="B94" s="405"/>
      <c r="C94" s="486" t="s">
        <v>3365</v>
      </c>
      <c r="D94" s="94" cm="1">
        <f t="array" ref="D94">(SUMPRODUCT((Cube!$A$2:$A$10001="MOBILISE")*(Cube!$B$2:$B$10001="Indexed LTV Range")*(Cube!$C$2:$C$10001=E94)*(Cube!$E$2:$E$10001)))/(SUMPRODUCT((Cube!$A$2:$A$10001="MOBILISE")*(Cube!$B$2:$B$10001="Summary")*(Cube!$C$2:$C$10001="MTKRDC")*(Cube!$E$2:$E$10001)))</f>
        <v>3.6787272912990013E-2</v>
      </c>
      <c r="E94" s="478" t="s">
        <v>585</v>
      </c>
      <c r="F94" s="182" cm="1">
        <f t="array" ref="F94">IFERROR((SUMPRODUCT((Cube!$A$2:$A$10001="MOBILISE")*(Cube!$B$2:$B$10001="Indexed LTV Range")*(Cube!$C$2:$C$10001=E74)*(Cube!$D$2:$D$10001))),0)</f>
        <v>19209</v>
      </c>
      <c r="G94" s="27"/>
      <c r="H94" s="27"/>
      <c r="I94" s="22"/>
    </row>
    <row r="95" spans="1:9" x14ac:dyDescent="0.25">
      <c r="B95" s="405"/>
      <c r="C95" s="486" t="s">
        <v>3366</v>
      </c>
      <c r="D95" s="94" cm="1">
        <f t="array" ref="D95">(SUMPRODUCT((Cube!$A$2:$A$10001="MOBILISE")*(Cube!$B$2:$B$10001="Indexed LTV Range")*(Cube!$C$2:$C$10001=E95)*(Cube!$E$2:$E$10001)))/(SUMPRODUCT((Cube!$A$2:$A$10001="MOBILISE")*(Cube!$B$2:$B$10001="Summary")*(Cube!$C$2:$C$10001="MTKRDC")*(Cube!$E$2:$E$10001)))</f>
        <v>6.2589761961961751E-3</v>
      </c>
      <c r="E95" s="478" t="s">
        <v>588</v>
      </c>
      <c r="F95" s="182" cm="1">
        <f t="array" ref="F95">IFERROR((SUMPRODUCT((Cube!$A$2:$A$10001="MOBILISE")*(Cube!$B$2:$B$10001="Indexed LTV Range")*(Cube!$C$2:$C$10001=E75)*(Cube!$D$2:$D$10001))),0)</f>
        <v>2914</v>
      </c>
      <c r="G95" s="27"/>
      <c r="H95" s="27"/>
      <c r="I95" s="22"/>
    </row>
    <row r="96" spans="1:9" x14ac:dyDescent="0.25">
      <c r="B96" s="405"/>
      <c r="C96" s="486" t="s">
        <v>3367</v>
      </c>
      <c r="D96" s="94" cm="1">
        <f t="array" ref="D96">(SUMPRODUCT((Cube!$A$2:$A$10001="MOBILISE")*(Cube!$B$2:$B$10001="Indexed LTV Range")*(Cube!$C$2:$C$10001=E96)*(Cube!$E$2:$E$10001)))/(SUMPRODUCT((Cube!$A$2:$A$10001="MOBILISE")*(Cube!$B$2:$B$10001="Summary")*(Cube!$C$2:$C$10001="MTKRDC")*(Cube!$E$2:$E$10001)))</f>
        <v>5.7090760718180728E-4</v>
      </c>
      <c r="E96" s="478" t="s">
        <v>589</v>
      </c>
      <c r="F96" s="182" cm="1">
        <f t="array" ref="F96">IFERROR((SUMPRODUCT((Cube!$A$2:$A$10001="MOBILISE")*(Cube!$B$2:$B$10001="Indexed LTV Range")*(Cube!$C$2:$C$10001=E76)*(Cube!$D$2:$D$10001))),0)</f>
        <v>228</v>
      </c>
      <c r="G96" s="27"/>
      <c r="H96" s="27"/>
      <c r="I96" s="22"/>
    </row>
    <row r="97" spans="1:9" x14ac:dyDescent="0.25">
      <c r="B97" s="405"/>
      <c r="C97" s="486" t="s">
        <v>3368</v>
      </c>
      <c r="D97" s="94" cm="1">
        <f t="array" ref="D97">(SUMPRODUCT((Cube!$A$2:$A$10001="MOBILISE")*(Cube!$B$2:$B$10001="Indexed LTV Range")*(Cube!$C$2:$C$10001=E97)*(Cube!$E$2:$E$10001)))/(SUMPRODUCT((Cube!$A$2:$A$10001="MOBILISE")*(Cube!$B$2:$B$10001="Summary")*(Cube!$C$2:$C$10001="MTKRDC")*(Cube!$E$2:$E$10001)))</f>
        <v>0</v>
      </c>
      <c r="E97" s="478"/>
      <c r="F97" s="182" cm="1">
        <f t="array" ref="F97">IFERROR((SUMPRODUCT((Cube!$A$2:$A$10001="MOBILISE")*(Cube!$B$2:$B$10001="Indexed LTV Range")*(Cube!$C$2:$C$10001=E77)*(Cube!$D$2:$D$10001))),0)</f>
        <v>0</v>
      </c>
      <c r="G97" s="27"/>
      <c r="H97" s="27"/>
      <c r="I97" s="22"/>
    </row>
    <row r="98" spans="1:9" x14ac:dyDescent="0.25">
      <c r="B98" s="393"/>
      <c r="C98" s="487" t="s">
        <v>3369</v>
      </c>
      <c r="D98" s="190" cm="1">
        <f t="array" ref="D98">(SUMPRODUCT((Cube!$A$2:$A$10001="MOBILISE")*(Cube!$B$2:$B$10001="Indexed LTV Range")*(Cube!$C$2:$C$10001=E98)*(Cube!$E$2:$E$10001)))/(SUMPRODUCT((Cube!$A$2:$A$10001="MOBILISE")*(Cube!$B$2:$B$10001="Summary")*(Cube!$C$2:$C$10001="MTKRDC")*(Cube!$E$2:$E$10001)))</f>
        <v>0</v>
      </c>
      <c r="E98" s="478"/>
      <c r="F98" s="182" cm="1">
        <f t="array" ref="F98">IFERROR((SUMPRODUCT((Cube!$A$2:$A$10001="MOBILISE")*(Cube!$B$2:$B$10001="Indexed LTV Range")*(Cube!$C$2:$C$10001=E78)*(Cube!$D$2:$D$10001))),0)</f>
        <v>0</v>
      </c>
    </row>
    <row r="99" spans="1:9" x14ac:dyDescent="0.25">
      <c r="B99" s="28"/>
      <c r="C99" s="28"/>
      <c r="E99" s="182" t="s">
        <v>352</v>
      </c>
    </row>
    <row r="100" spans="1:9" x14ac:dyDescent="0.25">
      <c r="B100" s="28"/>
      <c r="C100" s="28"/>
    </row>
    <row r="101" spans="1:9" x14ac:dyDescent="0.25">
      <c r="A101" s="33" t="s">
        <v>3373</v>
      </c>
      <c r="B101" s="24" t="s">
        <v>3374</v>
      </c>
    </row>
    <row r="102" spans="1:9" x14ac:dyDescent="0.25">
      <c r="B102" s="24"/>
    </row>
    <row r="103" spans="1:9" x14ac:dyDescent="0.25">
      <c r="E103" s="417" t="s">
        <v>3347</v>
      </c>
      <c r="F103" s="478"/>
      <c r="G103" s="33"/>
    </row>
    <row r="104" spans="1:9" ht="15" customHeight="1" x14ac:dyDescent="0.3">
      <c r="A104" s="99"/>
      <c r="B104" s="488" t="s">
        <v>3375</v>
      </c>
      <c r="C104" s="421"/>
      <c r="D104" s="421"/>
      <c r="E104" s="92" cm="1">
        <f t="array" ref="E104">(SUMPRODUCT((Cube!A2:A10001="MOBILISE")*(Cube!B2:B10001="Guaranty Type")*(Cube!C2:C10001=F104)*(Cube!E2:E10001)))/(SUMPRODUCT((Cube!$A$2:$A$10001="MOBILISE")*(Cube!$B$2:$B$10001="Summary")*(Cube!$C$2:$C$10001="MTKRDC")*(Cube!$E$2:$E$10001)))</f>
        <v>1.147760570510644E-2</v>
      </c>
      <c r="F104" s="9" t="s">
        <v>627</v>
      </c>
      <c r="G104" s="182"/>
    </row>
    <row r="105" spans="1:9" ht="15" customHeight="1" x14ac:dyDescent="0.3">
      <c r="A105" s="99"/>
      <c r="B105" s="489" t="s">
        <v>3376</v>
      </c>
      <c r="C105" s="426"/>
      <c r="D105" s="426"/>
      <c r="E105" s="92" cm="1">
        <f t="array" ref="E105">((SUMPRODUCT((Cube!A2:A10001="MOBILISE")*(Cube!B2:B10001="Guaranty Type")*(Cube!C2:C10001=F105)*(Cube!E2:E10001)))+(SUMPRODUCT((Cube!A2:A10001="MOBILISE")*(Cube!B2:B10001="Guaranty Type")*(Cube!C2:C10001=G105)*(Cube!E2:E10001))))/(SUMPRODUCT((Cube!$A$2:$A$10001="MOBILISE")*(Cube!$B$2:$B$10001="Summary")*(Cube!$C$2:$C$10001="MTKRDC")*(Cube!$E$2:$E$10001)))</f>
        <v>0.18114593138666515</v>
      </c>
      <c r="F105" s="9" t="s">
        <v>628</v>
      </c>
      <c r="G105" s="182" t="s">
        <v>629</v>
      </c>
    </row>
    <row r="106" spans="1:9" x14ac:dyDescent="0.25">
      <c r="A106" s="99"/>
      <c r="B106" s="490"/>
      <c r="C106" s="394"/>
      <c r="D106" s="491" t="s">
        <v>3377</v>
      </c>
      <c r="E106" s="492">
        <f>SUM(E104:E105)</f>
        <v>0.1926235370917716</v>
      </c>
      <c r="F106" s="182"/>
      <c r="G106" s="182"/>
    </row>
    <row r="107" spans="1:9" ht="15" customHeight="1" x14ac:dyDescent="0.3">
      <c r="B107" s="493" t="s">
        <v>3378</v>
      </c>
      <c r="C107" s="634" t="s">
        <v>3379</v>
      </c>
      <c r="D107" s="635"/>
      <c r="E107" s="92" cm="1">
        <f t="array" ref="E107">(SUMPRODUCT((Cube!A5:A10004="MOBILISE")*(Cube!B5:B10004="Guaranty Type")*(Cube!C5:C10004=F107)*(Cube!E5:E10004)))/(SUMPRODUCT((Cube!$A$2:$A$10001="MOBILISE")*(Cube!$B$2:$B$10001="Summary")*(Cube!$C$2:$C$10001="MTKRDC")*(Cube!$E$2:$E$10001)))</f>
        <v>1.1247496591593289E-3</v>
      </c>
      <c r="F107" s="9" t="s">
        <v>636</v>
      </c>
      <c r="G107" s="182"/>
    </row>
    <row r="108" spans="1:9" x14ac:dyDescent="0.25">
      <c r="B108" s="494"/>
      <c r="C108" s="636" t="s">
        <v>634</v>
      </c>
      <c r="D108" s="637" t="s">
        <v>3380</v>
      </c>
      <c r="E108" s="94" cm="1">
        <f t="array" ref="E108">(SUMPRODUCT((Cube!A6:A10005="MOBILISE")*(Cube!B6:B10005="Guaranty Type")*(Cube!C6:C10005=F108)*(Cube!E6:E10005)))/(SUMPRODUCT((Cube!$A$2:$A$10001="MOBILISE")*(Cube!$B$2:$B$10001="Summary")*(Cube!$C$2:$C$10001="MTKRDC")*(Cube!$E$2:$E$10001)))</f>
        <v>0.60353607379429652</v>
      </c>
      <c r="F108" s="182" t="s">
        <v>634</v>
      </c>
      <c r="G108" s="182"/>
    </row>
    <row r="109" spans="1:9" x14ac:dyDescent="0.25">
      <c r="B109" s="494"/>
      <c r="C109" s="636" t="s">
        <v>635</v>
      </c>
      <c r="D109" s="637" t="s">
        <v>3380</v>
      </c>
      <c r="E109" s="94" cm="1">
        <f t="array" ref="E109">(SUMPRODUCT((Cube!A7:A10006="MOBILISE")*(Cube!B7:B10006="Guaranty Type")*(Cube!C7:C10006=F109)*(Cube!E7:E10006)))/(SUMPRODUCT((Cube!$A$2:$A$10001="MOBILISE")*(Cube!$B$2:$B$10001="Summary")*(Cube!$C$2:$C$10001="MTKRDC")*(Cube!$E$2:$E$10001)))</f>
        <v>0.20271563945477264</v>
      </c>
      <c r="F109" s="182" t="s">
        <v>635</v>
      </c>
    </row>
    <row r="110" spans="1:9" x14ac:dyDescent="0.25">
      <c r="B110" s="495"/>
      <c r="C110" s="629" t="s">
        <v>1007</v>
      </c>
      <c r="D110" s="630" t="s">
        <v>3380</v>
      </c>
      <c r="E110" s="97" cm="1">
        <f t="array" ref="E110">(SUMPRODUCT((Cube!A8:A10007="MOBILISE")*(Cube!B8:B10007="Guaranty Type")*(Cube!C8:C10007=F110)*(Cube!E8:E10007)))/(SUMPRODUCT((Cube!$A$2:$A$10001="MOBILISE")*(Cube!$B$2:$B$10001="Summary")*(Cube!$C$2:$C$10001="MTKRDC")*(Cube!$E$2:$E$10001)))</f>
        <v>0</v>
      </c>
      <c r="F110" s="182"/>
      <c r="G110" s="182"/>
    </row>
    <row r="111" spans="1:9" x14ac:dyDescent="0.25">
      <c r="B111" s="476"/>
      <c r="C111" s="391"/>
      <c r="D111" s="453" t="s">
        <v>3381</v>
      </c>
      <c r="E111" s="492">
        <f>SUM(E107:E110)</f>
        <v>0.80737646290822851</v>
      </c>
      <c r="F111" s="182" t="s">
        <v>352</v>
      </c>
      <c r="G111" s="182"/>
    </row>
    <row r="112" spans="1:9" x14ac:dyDescent="0.25">
      <c r="B112" s="496"/>
    </row>
    <row r="113" spans="1:5" x14ac:dyDescent="0.25">
      <c r="B113" s="496"/>
    </row>
    <row r="114" spans="1:5" x14ac:dyDescent="0.25">
      <c r="A114" s="33" t="s">
        <v>3382</v>
      </c>
      <c r="B114" s="477" t="s">
        <v>3383</v>
      </c>
    </row>
    <row r="115" spans="1:5" x14ac:dyDescent="0.25">
      <c r="B115" s="477"/>
    </row>
    <row r="116" spans="1:5" x14ac:dyDescent="0.25">
      <c r="B116" s="399" t="s">
        <v>3384</v>
      </c>
      <c r="C116" s="417" t="s">
        <v>3347</v>
      </c>
      <c r="D116" s="478"/>
      <c r="E116" s="478"/>
    </row>
    <row r="117" spans="1:5" ht="15" customHeight="1" x14ac:dyDescent="0.3">
      <c r="B117" s="497" t="s">
        <v>3385</v>
      </c>
      <c r="C117" s="92" cm="1">
        <f t="array" ref="C117">(SUMPRODUCT((Cube!$A$2:$A$10000="MOBILISE")*(Cube!$B$2:$B$10000="Seasoning")*(Cube!$C$2:$C$10000=D117)*(Cube!$E$2:$E$10000)))/(SUMPRODUCT((Cube!$A$2:$A$10001="MOBILISE")*(Cube!$B$2:$B$10001="Summary")*(Cube!$C$2:$C$10001="MTKRDC")*(Cube!$E$2:$E$10001)))</f>
        <v>2.2149949013386575E-2</v>
      </c>
      <c r="D117" s="9" t="s">
        <v>475</v>
      </c>
    </row>
    <row r="118" spans="1:5" ht="15" customHeight="1" x14ac:dyDescent="0.3">
      <c r="B118" s="498" t="s">
        <v>3386</v>
      </c>
      <c r="C118" s="94" cm="1">
        <f t="array" ref="C118">(SUMPRODUCT((Cube!$A$2:$A$10000="MOBILISE")*(Cube!$B$2:$B$10000="Seasoning")*(Cube!$C$2:$C$10000=D118)*(Cube!$E$2:$E$10000)))/(SUMPRODUCT((Cube!$A$2:$A$10001="MOBILISE")*(Cube!$B$2:$B$10001="Summary")*(Cube!$C$2:$C$10001="MTKRDC")*(Cube!$E$2:$E$10001)))</f>
        <v>4.373960900963015E-2</v>
      </c>
      <c r="D118" s="9" t="s">
        <v>477</v>
      </c>
    </row>
    <row r="119" spans="1:5" ht="15" customHeight="1" x14ac:dyDescent="0.3">
      <c r="B119" s="498" t="s">
        <v>3387</v>
      </c>
      <c r="C119" s="94" cm="1">
        <f t="array" ref="C119">(SUMPRODUCT((Cube!$A$2:$A$10000="MOBILISE")*(Cube!$B$2:$B$10000="Seasoning")*(Cube!$C$2:$C$10000=D119)*(Cube!$E$2:$E$10000)))/(SUMPRODUCT((Cube!$A$2:$A$10001="MOBILISE")*(Cube!$B$2:$B$10001="Summary")*(Cube!$C$2:$C$10001="MTKRDC")*(Cube!$E$2:$E$10001)))</f>
        <v>5.8075045267545304E-2</v>
      </c>
      <c r="D119" s="9" t="s">
        <v>479</v>
      </c>
    </row>
    <row r="120" spans="1:5" ht="15" customHeight="1" x14ac:dyDescent="0.3">
      <c r="B120" s="498" t="s">
        <v>3388</v>
      </c>
      <c r="C120" s="94" cm="1">
        <f t="array" ref="C120">(SUMPRODUCT((Cube!$A$2:$A$10000="MOBILISE")*(Cube!$B$2:$B$10000="Seasoning")*(Cube!$C$2:$C$10000=D120)*(Cube!$E$2:$E$10000)))/(SUMPRODUCT((Cube!$A$2:$A$10001="MOBILISE")*(Cube!$B$2:$B$10001="Summary")*(Cube!$C$2:$C$10001="MTKRDC")*(Cube!$E$2:$E$10001)))</f>
        <v>0.27211236471415051</v>
      </c>
      <c r="D120" s="9" t="s">
        <v>481</v>
      </c>
    </row>
    <row r="121" spans="1:5" ht="15" customHeight="1" x14ac:dyDescent="0.3">
      <c r="B121" s="499" t="s">
        <v>3389</v>
      </c>
      <c r="C121" s="97" cm="1">
        <f t="array" ref="C121">(SUMPRODUCT((Cube!$A$2:$A$10000="MOBILISE")*(Cube!$B$2:$B$10000="Seasoning")*(Cube!$C$2:$C$10000=D121)*(Cube!$E$2:$E$10000)))/(SUMPRODUCT((Cube!$A$2:$A$10001="MOBILISE")*(Cube!$B$2:$B$10001="Summary")*(Cube!$C$2:$C$10001="MTKRDC")*(Cube!$E$2:$E$10001)))</f>
        <v>0.60392303199528752</v>
      </c>
      <c r="D121" s="9" t="s">
        <v>483</v>
      </c>
    </row>
    <row r="122" spans="1:5" x14ac:dyDescent="0.25">
      <c r="D122" s="182" t="s">
        <v>352</v>
      </c>
    </row>
    <row r="124" spans="1:5" x14ac:dyDescent="0.25">
      <c r="A124" s="33" t="s">
        <v>3390</v>
      </c>
      <c r="B124" s="477" t="s">
        <v>3391</v>
      </c>
    </row>
    <row r="125" spans="1:5" x14ac:dyDescent="0.25">
      <c r="B125" s="477"/>
    </row>
    <row r="126" spans="1:5" x14ac:dyDescent="0.25">
      <c r="C126" s="399" t="s">
        <v>3347</v>
      </c>
      <c r="D126" s="500"/>
    </row>
    <row r="127" spans="1:5" x14ac:dyDescent="0.25">
      <c r="B127" s="420" t="s">
        <v>1186</v>
      </c>
      <c r="C127" s="501" cm="1">
        <f t="array" ref="C127">(SUMPRODUCT((Cube!$A$2:$A$10000="MOBILISE")*(Cube!$B$2:$B$10000="Occupancy Type")*(Cube!$C$2:$C$10000=D127)*(Cube!$E$2:$E$10000)))/(SUMPRODUCT((Cube!$A$2:$A$10001="MOBILISE")*(Cube!$B$2:$B$10001="Summary")*(Cube!$C$2:$C$10001="MTKRDC")*(Cube!$E$2:$E$10001)))</f>
        <v>0.80651039739026342</v>
      </c>
      <c r="D127" s="182" t="s">
        <v>1187</v>
      </c>
    </row>
    <row r="128" spans="1:5" x14ac:dyDescent="0.25">
      <c r="B128" s="430" t="s">
        <v>3392</v>
      </c>
      <c r="C128" s="94" cm="1">
        <f t="array" ref="C128">(SUMPRODUCT((Cube!$A$2:$A$10000="MOBILISE")*(Cube!$B$2:$B$10000="Occupancy Type")*(Cube!$C$2:$C$10000=D128)*(Cube!$E$2:$E$10000)))/(SUMPRODUCT((Cube!$A$2:$A$10001="MOBILISE")*(Cube!$B$2:$B$10001="Summary")*(Cube!$C$2:$C$10001="MTKRDC")*(Cube!$E$2:$E$10001)))</f>
        <v>2.6837430677498914E-2</v>
      </c>
      <c r="D128" s="182" t="s">
        <v>1190</v>
      </c>
    </row>
    <row r="129" spans="1:4" x14ac:dyDescent="0.25">
      <c r="B129" s="430" t="s">
        <v>3393</v>
      </c>
      <c r="C129" s="94" cm="1">
        <f t="array" ref="C129">(SUMPRODUCT((Cube!$A$2:$A$10000="MOBILISE")*(Cube!$B$2:$B$10000="Occupancy Type")*(Cube!$C$2:$C$10000=D129)*(Cube!$E$2:$E$10000)))/(SUMPRODUCT((Cube!$A$2:$A$10001="MOBILISE")*(Cube!$B$2:$B$10001="Summary")*(Cube!$C$2:$C$10001="MTKRDC")*(Cube!$E$2:$E$10001)))</f>
        <v>0.1666521719322378</v>
      </c>
      <c r="D129" s="182" t="s">
        <v>1193</v>
      </c>
    </row>
    <row r="130" spans="1:4" ht="15" customHeight="1" x14ac:dyDescent="0.3">
      <c r="B130" s="430" t="s">
        <v>350</v>
      </c>
      <c r="C130" s="94" cm="1">
        <f t="array" ref="C130">(SUMPRODUCT((Cube!$A$2:$A$10000="MOBILISE")*(Cube!$B$2:$B$10000="Occupancy Type")*(Cube!$C$2:$C$10000=D130)*(Cube!$E$2:$E$10000)))/(SUMPRODUCT((Cube!$A$2:$A$10001="MOBILISE")*(Cube!$B$2:$B$10001="Summary")*(Cube!$C$2:$C$10001="MTKRDC")*(Cube!$E$2:$E$10001)))</f>
        <v>0</v>
      </c>
      <c r="D130"/>
    </row>
    <row r="131" spans="1:4" ht="15" customHeight="1" x14ac:dyDescent="0.3">
      <c r="B131" s="431" t="s">
        <v>1009</v>
      </c>
      <c r="C131" s="97" cm="1">
        <f t="array" ref="C131">(SUMPRODUCT((Cube!$A$2:$A$10000="MOBILISE")*(Cube!$B$2:$B$10000="Occupancy Type")*(Cube!$C$2:$C$10000=D131)*(Cube!$E$2:$E$10000)))/(SUMPRODUCT((Cube!$A$2:$A$10001="MOBILISE")*(Cube!$B$2:$B$10001="Summary")*(Cube!$C$2:$C$10001="MTKRDC")*(Cube!$E$2:$E$10001)))</f>
        <v>0</v>
      </c>
      <c r="D131"/>
    </row>
    <row r="134" spans="1:4" x14ac:dyDescent="0.25">
      <c r="A134" s="33" t="s">
        <v>3394</v>
      </c>
      <c r="B134" s="477" t="s">
        <v>3395</v>
      </c>
    </row>
    <row r="136" spans="1:4" x14ac:dyDescent="0.25">
      <c r="C136" s="399" t="s">
        <v>3347</v>
      </c>
      <c r="D136" s="500"/>
    </row>
    <row r="137" spans="1:4" x14ac:dyDescent="0.25">
      <c r="B137" s="420" t="s">
        <v>1060</v>
      </c>
      <c r="C137" s="92">
        <v>1</v>
      </c>
      <c r="D137" s="502"/>
    </row>
    <row r="138" spans="1:4" x14ac:dyDescent="0.25">
      <c r="B138" s="430" t="s">
        <v>3396</v>
      </c>
      <c r="C138" s="94">
        <v>0</v>
      </c>
      <c r="D138" s="502"/>
    </row>
    <row r="139" spans="1:4" x14ac:dyDescent="0.25">
      <c r="B139" s="430" t="s">
        <v>3397</v>
      </c>
      <c r="C139" s="94">
        <v>0</v>
      </c>
      <c r="D139" s="502"/>
    </row>
    <row r="140" spans="1:4" x14ac:dyDescent="0.25">
      <c r="B140" s="430" t="s">
        <v>350</v>
      </c>
      <c r="C140" s="94">
        <v>0</v>
      </c>
    </row>
    <row r="141" spans="1:4" x14ac:dyDescent="0.25">
      <c r="B141" s="431" t="s">
        <v>1009</v>
      </c>
      <c r="C141" s="97">
        <v>0</v>
      </c>
    </row>
    <row r="144" spans="1:4" x14ac:dyDescent="0.25">
      <c r="A144" s="33" t="s">
        <v>3398</v>
      </c>
      <c r="B144" s="24" t="s">
        <v>3399</v>
      </c>
    </row>
    <row r="146" spans="1:5" x14ac:dyDescent="0.25">
      <c r="C146" s="399" t="s">
        <v>3347</v>
      </c>
    </row>
    <row r="147" spans="1:5" x14ac:dyDescent="0.25">
      <c r="B147" s="420" t="s">
        <v>3400</v>
      </c>
      <c r="C147" s="94" cm="1">
        <f t="array" ref="C147">(SUMPRODUCT((Cube!$A$2:$A$10000="MOBILISE")*(Cube!$B$2:$B$10000="Interest Rate Swaps")*(Cube!$C$2:$C$10000=D147)*(Cube!$E$2:$E$10000)))/(SUMPRODUCT((Cube!$A$2:$A$10001="MOBILISE")*(Cube!$B$2:$B$10001="Summary")*(Cube!$C$2:$C$10001="MTKRDC")*(Cube!$E$2:$E$10001)))</f>
        <v>0.99914418155247509</v>
      </c>
      <c r="D147" s="182" t="s">
        <v>2935</v>
      </c>
    </row>
    <row r="148" spans="1:5" x14ac:dyDescent="0.25">
      <c r="B148" s="430" t="s">
        <v>3401</v>
      </c>
      <c r="C148" s="94" cm="1">
        <f t="array" ref="C148">(SUMPRODUCT((Cube!$A$2:$A$10000="MOBILISE")*(Cube!$B$2:$B$10000="Interest Rate Swaps")*(Cube!$C$2:$C$10000=D148)*(Cube!$E$2:$E$10000)))/(SUMPRODUCT((Cube!$A$2:$A$10001="MOBILISE")*(Cube!$B$2:$B$10001="Summary")*(Cube!$C$2:$C$10001="MTKRDC")*(Cube!$E$2:$E$10001)))</f>
        <v>8.1193013683258518E-4</v>
      </c>
      <c r="D148" s="182" t="s">
        <v>2934</v>
      </c>
    </row>
    <row r="149" spans="1:5" x14ac:dyDescent="0.25">
      <c r="B149" s="430" t="s">
        <v>3402</v>
      </c>
      <c r="C149" s="94" cm="1">
        <f t="array" ref="C149">(SUMPRODUCT((Cube!$A$2:$A$10000="MOBILISE")*(Cube!$B$2:$B$10000="Interest Rate Swaps")*(Cube!$C$2:$C$10000=D149)*(Cube!$E$2:$E$10000)))/(SUMPRODUCT((Cube!$A$2:$A$10001="MOBILISE")*(Cube!$B$2:$B$10001="Summary")*(Cube!$C$2:$C$10001="MTKRDC")*(Cube!$E$2:$E$10001)))</f>
        <v>4.3888310692464097E-5</v>
      </c>
      <c r="D149" s="182" t="s">
        <v>2936</v>
      </c>
    </row>
    <row r="150" spans="1:5" x14ac:dyDescent="0.25">
      <c r="B150" s="430" t="s">
        <v>3403</v>
      </c>
      <c r="C150" s="94">
        <v>0</v>
      </c>
    </row>
    <row r="151" spans="1:5" x14ac:dyDescent="0.25">
      <c r="B151" s="430" t="s">
        <v>350</v>
      </c>
      <c r="C151" s="94">
        <v>0</v>
      </c>
    </row>
    <row r="152" spans="1:5" x14ac:dyDescent="0.25">
      <c r="B152" s="431" t="s">
        <v>1009</v>
      </c>
      <c r="C152" s="97">
        <v>0</v>
      </c>
    </row>
    <row r="155" spans="1:5" x14ac:dyDescent="0.25">
      <c r="A155" s="33" t="s">
        <v>3404</v>
      </c>
      <c r="B155" s="24" t="s">
        <v>3405</v>
      </c>
    </row>
    <row r="157" spans="1:5" x14ac:dyDescent="0.25">
      <c r="D157" s="417" t="s">
        <v>3347</v>
      </c>
    </row>
    <row r="158" spans="1:5" x14ac:dyDescent="0.25">
      <c r="B158" s="404" t="s">
        <v>3406</v>
      </c>
      <c r="C158" s="433"/>
      <c r="D158" s="92" cm="1">
        <f t="array" ref="D158">(SUMPRODUCT((Cube!$A$2:$A$10000="MOBILISE")*(Cube!$B$2:$B$10000="Employment Type")*(Cube!$C$2:$C$10000=E158)*(Cube!$E$2:$E$10000)))/(SUMPRODUCT((Cube!$A$2:$A$10001="MOBILISE")*(Cube!$B$2:$B$10001="Summary")*(Cube!$C$2:$C$10001="MTKRDC")*(Cube!$E$2:$E$10001)))</f>
        <v>0.61952121478201971</v>
      </c>
      <c r="E158" s="182" t="s">
        <v>2445</v>
      </c>
    </row>
    <row r="159" spans="1:5" x14ac:dyDescent="0.25">
      <c r="B159" s="408" t="s">
        <v>3407</v>
      </c>
      <c r="C159" s="434"/>
      <c r="D159" s="94" cm="1">
        <f t="array" ref="D159">(SUMPRODUCT((Cube!$A$2:$A$10000="MOBILISE")*(Cube!$B$2:$B$10000="Employment Type")*(Cube!$C$2:$C$10000=E159)*(Cube!$E$2:$E$10000)))/(SUMPRODUCT((Cube!$A$2:$A$10001="MOBILISE")*(Cube!$B$2:$B$10001="Summary")*(Cube!$C$2:$C$10001="MTKRDC")*(Cube!$E$2:$E$10001)))</f>
        <v>0.18983155751934055</v>
      </c>
      <c r="E159" s="182" t="s">
        <v>2442</v>
      </c>
    </row>
    <row r="160" spans="1:5" x14ac:dyDescent="0.25">
      <c r="B160" s="408" t="s">
        <v>3408</v>
      </c>
      <c r="C160" s="434"/>
      <c r="D160" s="94" cm="1">
        <f t="array" ref="D160">(SUMPRODUCT((Cube!$A$2:$A$10000="MOBILISE")*(Cube!$B$2:$B$10000="Employment Type")*(Cube!$C$2:$C$10000=E160)*(Cube!$E$2:$E$10000)))/(SUMPRODUCT((Cube!$A$2:$A$10001="MOBILISE")*(Cube!$B$2:$B$10001="Summary")*(Cube!$C$2:$C$10001="MTKRDC")*(Cube!$E$2:$E$10001)))</f>
        <v>0.12789646873754537</v>
      </c>
      <c r="E160" s="182" t="s">
        <v>2443</v>
      </c>
    </row>
    <row r="161" spans="1:9" x14ac:dyDescent="0.25">
      <c r="B161" s="408" t="s">
        <v>3409</v>
      </c>
      <c r="C161" s="434"/>
      <c r="D161" s="94" cm="1">
        <f t="array" ref="D161">(SUMPRODUCT((Cube!$A$2:$A$10000="MOBILISE")*(Cube!$B$2:$B$10000="Employment Type")*(Cube!$C$2:$C$10000=E161)*(Cube!$E$2:$E$10000)))/(SUMPRODUCT((Cube!$A$2:$A$10001="MOBILISE")*(Cube!$B$2:$B$10001="Summary")*(Cube!$C$2:$C$10001="MTKRDC")*(Cube!$E$2:$E$10001)))</f>
        <v>2.3622667338401068E-2</v>
      </c>
      <c r="E161" s="182" t="s">
        <v>2444</v>
      </c>
    </row>
    <row r="162" spans="1:9" x14ac:dyDescent="0.25">
      <c r="B162" s="408" t="s">
        <v>3410</v>
      </c>
      <c r="C162" s="434"/>
      <c r="D162" s="94" cm="1">
        <f t="array" ref="D162">(SUMPRODUCT((Cube!$A$2:$A$10000="MOBILISE")*(Cube!$B$2:$B$10000="Employment Type")*(Cube!$C$2:$C$10000=E162)*(Cube!$E$2:$E$10000)))/(SUMPRODUCT((Cube!$A$2:$A$10001="MOBILISE")*(Cube!$B$2:$B$10001="Summary")*(Cube!$C$2:$C$10001="MTKRDC")*(Cube!$E$2:$E$10001)))</f>
        <v>3.912809162269338E-2</v>
      </c>
      <c r="E162" s="182" t="s">
        <v>2441</v>
      </c>
    </row>
    <row r="163" spans="1:9" x14ac:dyDescent="0.25">
      <c r="B163" s="408" t="s">
        <v>3411</v>
      </c>
      <c r="C163" s="434"/>
      <c r="D163" s="94">
        <v>0</v>
      </c>
    </row>
    <row r="164" spans="1:9" x14ac:dyDescent="0.25">
      <c r="B164" s="410" t="s">
        <v>1009</v>
      </c>
      <c r="C164" s="435"/>
      <c r="D164" s="97">
        <v>0</v>
      </c>
    </row>
    <row r="167" spans="1:9" x14ac:dyDescent="0.25">
      <c r="A167" s="33" t="s">
        <v>3412</v>
      </c>
      <c r="B167" s="477" t="s">
        <v>3413</v>
      </c>
    </row>
    <row r="168" spans="1:9" x14ac:dyDescent="0.25">
      <c r="B168" s="477"/>
    </row>
    <row r="169" spans="1:9" x14ac:dyDescent="0.25">
      <c r="B169" s="404" t="s">
        <v>3414</v>
      </c>
      <c r="C169" s="503"/>
      <c r="D169" s="504" cm="1">
        <f t="array" ref="D169">(SUMPRODUCT((Cube!$A$2:$A$9999="MOBILISE")*(Cube!$B$2:$B$9999="Summary")*(Cube!$C$2:$C$9999="MTKRDC")*(Cube!$D$2:$D$9999)))</f>
        <v>971224</v>
      </c>
      <c r="E169" s="33"/>
      <c r="F169" s="33"/>
      <c r="G169" s="33"/>
      <c r="I169" s="28"/>
    </row>
    <row r="170" spans="1:9" x14ac:dyDescent="0.25">
      <c r="B170" s="410" t="s">
        <v>3415</v>
      </c>
      <c r="C170" s="505"/>
      <c r="D170" s="506" cm="1">
        <f t="array" ref="D170">(SUMPRODUCT((Cube!$A$2:$A$9999="MOBILISE")*(Cube!$B$2:$B$9999="Summary")*(Cube!$C$2:$C$9999="MTKRDC")*(Cube!$I$2:$I$9999)))</f>
        <v>87802.67</v>
      </c>
      <c r="E170" s="33"/>
      <c r="F170" s="33"/>
      <c r="G170" s="33"/>
    </row>
    <row r="171" spans="1:9" x14ac:dyDescent="0.25">
      <c r="B171" s="28"/>
      <c r="C171" s="478"/>
      <c r="D171" s="33"/>
      <c r="E171" s="33"/>
      <c r="F171" s="33"/>
      <c r="G171" s="33"/>
    </row>
    <row r="172" spans="1:9" ht="25.5" customHeight="1" x14ac:dyDescent="0.25">
      <c r="B172" s="28"/>
      <c r="C172" s="478"/>
      <c r="D172" s="472" t="s">
        <v>3416</v>
      </c>
      <c r="F172" s="33"/>
      <c r="G172" s="33"/>
    </row>
    <row r="173" spans="1:9" x14ac:dyDescent="0.25">
      <c r="B173" s="404" t="s">
        <v>3417</v>
      </c>
      <c r="C173" s="433"/>
      <c r="D173" s="191" cm="1">
        <f t="array" ref="D173">(SUMPRODUCT((Cube!$A$2:$A$9999="MOBILISE")*(Cube!$B$2:$B$9999="5 largest exposures")*(Cube!$E$2:$E$9999)))/(SUMPRODUCT((Cube!$A$2:$A$10001="MOBILISE")*(Cube!$B$2:$B$10001="Summary")*(Cube!$C$2:$C$10001="MTKRDC")*(Cube!$E$2:$E$10001)))</f>
        <v>3.4808991464662021E-5</v>
      </c>
      <c r="E173" s="33"/>
    </row>
    <row r="174" spans="1:9" x14ac:dyDescent="0.25">
      <c r="B174" s="410" t="s">
        <v>3418</v>
      </c>
      <c r="C174" s="435"/>
      <c r="D174" s="97" cm="1">
        <f t="array" ref="D174">(SUMPRODUCT((Cube!$A$2:$A$9999="MOBILISE")*(Cube!$B$2:$B$9999="10 largest exposures")*(Cube!$E$2:$E$9999)))/(SUMPRODUCT((Cube!$A$2:$A$10001="MOBILISE")*(Cube!$B$2:$B$10001="Summary")*(Cube!$C$2:$C$10001="MTKRDC")*(Cube!$E$2:$E$10001)))</f>
        <v>6.8253175019981796E-5</v>
      </c>
    </row>
    <row r="175" spans="1:9" x14ac:dyDescent="0.25">
      <c r="B175" s="28"/>
      <c r="C175" s="28"/>
    </row>
    <row r="176" spans="1:9" x14ac:dyDescent="0.25">
      <c r="B176" s="28"/>
      <c r="C176" s="28"/>
    </row>
    <row r="177" spans="1:6" ht="51" customHeight="1" x14ac:dyDescent="0.25">
      <c r="A177" s="109"/>
      <c r="B177" s="507" t="s">
        <v>3419</v>
      </c>
      <c r="C177" s="508" t="s">
        <v>3420</v>
      </c>
      <c r="D177" s="508" t="s">
        <v>3421</v>
      </c>
      <c r="E177" s="508" t="s">
        <v>3422</v>
      </c>
      <c r="F177" s="110"/>
    </row>
    <row r="178" spans="1:6" ht="15" customHeight="1" x14ac:dyDescent="0.3">
      <c r="A178" s="109"/>
      <c r="B178" s="509" t="s">
        <v>1098</v>
      </c>
      <c r="C178" s="111" cm="1">
        <f t="array" ref="C178">(SUMPRODUCT((Cube!$A$2:$A$9999="MOBILISE")*(Cube!$B$2:$B$9999="Breakdown by Outstanding balance")*(Cube!$C$2:$C$9999=F178)*(Cube!$D$2:$D$9999)))</f>
        <v>881910</v>
      </c>
      <c r="D178" s="111" cm="1">
        <f t="array" ref="D178">(SUMPRODUCT((Cube!$A$2:$A$9999="MOBILISE")*(Cube!$B$2:$B$9999="Breakdown by Outstanding balance")*(Cube!$C$2:$C$9999=F178)*(Cube!$E$2:$E$9999)))/1000000</f>
        <v>61316.702668739999</v>
      </c>
      <c r="E178" s="112">
        <f t="shared" ref="E178:E183" si="0">D178/$D$184</f>
        <v>0.71903765270558362</v>
      </c>
      <c r="F178" s="9" t="s">
        <v>528</v>
      </c>
    </row>
    <row r="179" spans="1:6" ht="15" customHeight="1" x14ac:dyDescent="0.3">
      <c r="A179" s="109"/>
      <c r="B179" s="509" t="s">
        <v>1100</v>
      </c>
      <c r="C179" s="111" cm="1">
        <f t="array" ref="C179">(SUMPRODUCT((Cube!$A$2:$A$9999="MOBILISE")*(Cube!$B$2:$B$9999="Breakdown by Outstanding balance")*(Cube!$C$2:$C$9999=F179)*(Cube!$D$2:$D$9999)))</f>
        <v>85010</v>
      </c>
      <c r="D179" s="111" cm="1">
        <f t="array" ref="D179">(SUMPRODUCT((Cube!$A$2:$A$9999="MOBILISE")*(Cube!$B$2:$B$9999="Breakdown by Outstanding balance")*(Cube!$C$2:$C$9999=F179)*(Cube!$E$2:$E$9999)))/1000000</f>
        <v>22060.682123439998</v>
      </c>
      <c r="E179" s="112">
        <f t="shared" si="0"/>
        <v>0.25869722931479811</v>
      </c>
      <c r="F179" s="9" t="s">
        <v>530</v>
      </c>
    </row>
    <row r="180" spans="1:6" ht="15" customHeight="1" x14ac:dyDescent="0.3">
      <c r="A180" s="109"/>
      <c r="B180" s="509" t="s">
        <v>1102</v>
      </c>
      <c r="C180" s="111" cm="1">
        <f t="array" ref="C180">(SUMPRODUCT((Cube!$A$2:$A$9999="MOBILISE")*(Cube!$B$2:$B$9999="Breakdown by Outstanding balance")*(Cube!$C$2:$C$9999=F180)*(Cube!$D$2:$D$9999)))</f>
        <v>4303</v>
      </c>
      <c r="D180" s="111" cm="1">
        <f t="array" ref="D180">(SUMPRODUCT((Cube!$A$2:$A$9999="MOBILISE")*(Cube!$B$2:$B$9999="Breakdown by Outstanding balance")*(Cube!$C$2:$C$9999=F180)*(Cube!$E$2:$E$9999)))/1000000</f>
        <v>1898.0443203699999</v>
      </c>
      <c r="E180" s="112">
        <f t="shared" si="0"/>
        <v>2.2257643895547949E-2</v>
      </c>
      <c r="F180" s="9" t="s">
        <v>532</v>
      </c>
    </row>
    <row r="181" spans="1:6" ht="15" customHeight="1" x14ac:dyDescent="0.3">
      <c r="A181" s="109"/>
      <c r="B181" s="509" t="s">
        <v>1104</v>
      </c>
      <c r="C181" s="111" cm="1">
        <f t="array" ref="C181">(SUMPRODUCT((Cube!$A$2:$A$9999="MOBILISE")*(Cube!$B$2:$B$9999="Breakdown by Outstanding balance")*(Cube!$C$2:$C$9999=F181)*(Cube!$D$2:$D$9999)))</f>
        <v>1</v>
      </c>
      <c r="D181" s="111" cm="1">
        <f t="array" ref="D181">(SUMPRODUCT((Cube!$A$2:$A$9999="MOBILISE")*(Cube!$B$2:$B$9999="Breakdown by Outstanding balance")*(Cube!$C$2:$C$9999=F181)*(Cube!$E$2:$E$9999)))/1000000</f>
        <v>0.63736048999999995</v>
      </c>
      <c r="E181" s="112">
        <f t="shared" si="0"/>
        <v>7.4740840702531843E-6</v>
      </c>
      <c r="F181" s="9" t="s">
        <v>535</v>
      </c>
    </row>
    <row r="182" spans="1:6" ht="15" customHeight="1" x14ac:dyDescent="0.3">
      <c r="A182" s="109"/>
      <c r="B182" s="509" t="s">
        <v>1106</v>
      </c>
      <c r="C182" s="111" cm="1">
        <f t="array" ref="C182">(SUMPRODUCT((Cube!$A$2:$A$9999="MOBILISE")*(Cube!$B$2:$B$9999="Breakdown by Outstanding balance")*(Cube!$C$2:$C$9999=F182)*(Cube!$D$2:$D$9999)))</f>
        <v>0</v>
      </c>
      <c r="D182" s="111" cm="1">
        <f t="array" ref="D182">(SUMPRODUCT((Cube!$A$2:$A$9999="MOBILISE")*(Cube!$B$2:$B$9999="Breakdown by Outstanding balance")*(Cube!$C$2:$C$9999=F182)*(Cube!$E$2:$E$9999)))/1000000</f>
        <v>0</v>
      </c>
      <c r="E182" s="112">
        <f t="shared" si="0"/>
        <v>0</v>
      </c>
      <c r="F182" s="9" t="s">
        <v>538</v>
      </c>
    </row>
    <row r="183" spans="1:6" ht="15.75" customHeight="1" x14ac:dyDescent="0.3">
      <c r="A183" s="109"/>
      <c r="B183" s="510" t="s">
        <v>1108</v>
      </c>
      <c r="C183" s="111" cm="1">
        <f t="array" ref="C183">(SUMPRODUCT((Cube!$A$2:$A$9999="MOBILISE")*(Cube!$B$2:$B$9999="Breakdown by Outstanding balance")*(Cube!$C$2:$C$9999=F183)*(Cube!$D$2:$D$9999)))</f>
        <v>0</v>
      </c>
      <c r="D183" s="111" cm="1">
        <f t="array" ref="D183">(SUMPRODUCT((Cube!$A$2:$A$9999="MOBILISE")*(Cube!$B$2:$B$9999="Breakdown by Outstanding balance")*(Cube!$C$2:$C$9999=F183)*(Cube!$E$2:$E$9999)))/1000000</f>
        <v>0</v>
      </c>
      <c r="E183" s="112">
        <f t="shared" si="0"/>
        <v>0</v>
      </c>
      <c r="F183" s="9" t="s">
        <v>541</v>
      </c>
    </row>
    <row r="184" spans="1:6" ht="13.5" customHeight="1" x14ac:dyDescent="0.25">
      <c r="A184" s="109"/>
      <c r="B184" s="511" t="s">
        <v>3423</v>
      </c>
      <c r="C184" s="113">
        <f>SUM(C178:C183)</f>
        <v>971224</v>
      </c>
      <c r="D184" s="113">
        <f>SUM(D178:D183)</f>
        <v>85276.066473040002</v>
      </c>
      <c r="E184" s="114">
        <f>SUM(E178:E183)</f>
        <v>0.99999999999999989</v>
      </c>
    </row>
    <row r="185" spans="1:6" x14ac:dyDescent="0.25">
      <c r="B185" s="28"/>
      <c r="C185" s="28"/>
    </row>
    <row r="187" spans="1:6" x14ac:dyDescent="0.25">
      <c r="A187" s="33" t="s">
        <v>3424</v>
      </c>
      <c r="B187" s="24" t="s">
        <v>3425</v>
      </c>
    </row>
    <row r="188" spans="1:6" x14ac:dyDescent="0.25">
      <c r="B188" s="24"/>
    </row>
    <row r="189" spans="1:6" x14ac:dyDescent="0.25">
      <c r="C189" s="510" t="s">
        <v>3271</v>
      </c>
      <c r="D189" s="510" t="s">
        <v>3310</v>
      </c>
      <c r="E189" s="510" t="s">
        <v>3312</v>
      </c>
    </row>
    <row r="190" spans="1:6" x14ac:dyDescent="0.25">
      <c r="B190" s="450" t="s">
        <v>3265</v>
      </c>
      <c r="C190" s="100">
        <f>SUM(D190:E190)</f>
        <v>0</v>
      </c>
      <c r="D190" s="100">
        <v>0</v>
      </c>
      <c r="E190" s="100">
        <v>0</v>
      </c>
    </row>
    <row r="191" spans="1:6" x14ac:dyDescent="0.25">
      <c r="B191" s="28"/>
    </row>
    <row r="192" spans="1:6" x14ac:dyDescent="0.25">
      <c r="B192" s="24"/>
    </row>
    <row r="193" spans="2:13" x14ac:dyDescent="0.25">
      <c r="B193" s="432" t="s">
        <v>3426</v>
      </c>
      <c r="C193" s="391"/>
      <c r="D193" s="391"/>
      <c r="E193" s="391"/>
      <c r="F193" s="391"/>
      <c r="G193" s="391"/>
      <c r="H193" s="391"/>
      <c r="I193" s="391"/>
      <c r="J193" s="391"/>
      <c r="K193" s="391"/>
      <c r="L193" s="391"/>
      <c r="M193" s="414"/>
    </row>
    <row r="194" spans="2:13" ht="38.25" customHeight="1" x14ac:dyDescent="0.25">
      <c r="B194" s="512" t="s">
        <v>3427</v>
      </c>
      <c r="C194" s="513" t="s">
        <v>3428</v>
      </c>
      <c r="D194" s="513" t="s">
        <v>3429</v>
      </c>
      <c r="E194" s="514"/>
      <c r="F194" s="515" t="s">
        <v>3215</v>
      </c>
      <c r="G194" s="516"/>
      <c r="H194" s="513" t="s">
        <v>3430</v>
      </c>
      <c r="I194" s="513" t="s">
        <v>3431</v>
      </c>
      <c r="J194" s="513" t="s">
        <v>3432</v>
      </c>
      <c r="K194" s="513" t="s">
        <v>3433</v>
      </c>
      <c r="L194" s="513" t="s">
        <v>3434</v>
      </c>
      <c r="M194" s="513" t="s">
        <v>3435</v>
      </c>
    </row>
    <row r="195" spans="2:13" x14ac:dyDescent="0.25">
      <c r="B195" s="425"/>
      <c r="C195" s="517"/>
      <c r="D195" s="517"/>
      <c r="E195" s="399" t="s">
        <v>3219</v>
      </c>
      <c r="F195" s="399" t="s">
        <v>3220</v>
      </c>
      <c r="G195" s="399" t="s">
        <v>3221</v>
      </c>
      <c r="H195" s="517"/>
      <c r="I195" s="517"/>
      <c r="J195" s="517"/>
      <c r="K195" s="517"/>
      <c r="L195" s="517"/>
      <c r="M195" s="517"/>
    </row>
    <row r="196" spans="2:13" x14ac:dyDescent="0.25">
      <c r="B196" s="101" t="s">
        <v>3436</v>
      </c>
      <c r="C196" s="71"/>
      <c r="D196" s="71"/>
      <c r="E196" s="71"/>
      <c r="F196" s="71"/>
      <c r="G196" s="71"/>
      <c r="H196" s="71"/>
      <c r="I196" s="71"/>
      <c r="J196" s="71"/>
      <c r="K196" s="71"/>
      <c r="L196" s="71"/>
      <c r="M196" s="71"/>
    </row>
    <row r="197" spans="2:13" x14ac:dyDescent="0.25">
      <c r="B197" s="102" t="s">
        <v>3437</v>
      </c>
      <c r="C197" s="72"/>
      <c r="D197" s="72"/>
      <c r="E197" s="72"/>
      <c r="F197" s="72"/>
      <c r="G197" s="72"/>
      <c r="H197" s="72"/>
      <c r="I197" s="72"/>
      <c r="J197" s="72"/>
      <c r="K197" s="72"/>
      <c r="L197" s="72"/>
      <c r="M197" s="72"/>
    </row>
    <row r="198" spans="2:13" x14ac:dyDescent="0.25">
      <c r="B198" s="102" t="s">
        <v>3438</v>
      </c>
      <c r="C198" s="72"/>
      <c r="D198" s="72"/>
      <c r="E198" s="72"/>
      <c r="F198" s="72"/>
      <c r="G198" s="72"/>
      <c r="H198" s="72"/>
      <c r="I198" s="72"/>
      <c r="J198" s="72"/>
      <c r="K198" s="72"/>
      <c r="L198" s="72"/>
      <c r="M198" s="72"/>
    </row>
    <row r="199" spans="2:13" x14ac:dyDescent="0.25">
      <c r="B199" s="103" t="s">
        <v>3439</v>
      </c>
      <c r="C199" s="103"/>
      <c r="D199" s="103"/>
      <c r="E199" s="103"/>
      <c r="F199" s="103"/>
      <c r="G199" s="103"/>
      <c r="H199" s="103"/>
      <c r="I199" s="103"/>
      <c r="J199" s="103"/>
      <c r="K199" s="103"/>
      <c r="L199" s="103"/>
      <c r="M199" s="103"/>
    </row>
    <row r="201" spans="2:13" x14ac:dyDescent="0.25">
      <c r="B201" s="24"/>
    </row>
    <row r="202" spans="2:13" x14ac:dyDescent="0.25">
      <c r="B202" s="432" t="s">
        <v>3440</v>
      </c>
      <c r="C202" s="391"/>
      <c r="D202" s="391"/>
      <c r="E202" s="391"/>
      <c r="F202" s="391"/>
      <c r="G202" s="391"/>
      <c r="H202" s="391"/>
      <c r="I202" s="391"/>
      <c r="J202" s="414"/>
    </row>
    <row r="203" spans="2:13" ht="38.25" customHeight="1" x14ac:dyDescent="0.25">
      <c r="B203" s="512" t="s">
        <v>3427</v>
      </c>
      <c r="C203" s="513" t="s">
        <v>3428</v>
      </c>
      <c r="D203" s="513" t="s">
        <v>3429</v>
      </c>
      <c r="E203" s="514"/>
      <c r="F203" s="515" t="s">
        <v>3215</v>
      </c>
      <c r="G203" s="516"/>
      <c r="H203" s="513" t="s">
        <v>3430</v>
      </c>
      <c r="I203" s="513" t="s">
        <v>3434</v>
      </c>
      <c r="J203" s="513" t="s">
        <v>3435</v>
      </c>
    </row>
    <row r="204" spans="2:13" x14ac:dyDescent="0.25">
      <c r="B204" s="422"/>
      <c r="C204" s="517"/>
      <c r="D204" s="517"/>
      <c r="E204" s="399" t="s">
        <v>3219</v>
      </c>
      <c r="F204" s="399" t="s">
        <v>3220</v>
      </c>
      <c r="G204" s="399" t="s">
        <v>3221</v>
      </c>
      <c r="H204" s="517"/>
      <c r="I204" s="517"/>
      <c r="J204" s="517"/>
    </row>
    <row r="205" spans="2:13" x14ac:dyDescent="0.25">
      <c r="B205" s="101" t="s">
        <v>3436</v>
      </c>
      <c r="C205" s="71"/>
      <c r="D205" s="71"/>
      <c r="E205" s="71"/>
      <c r="F205" s="71"/>
      <c r="G205" s="71"/>
      <c r="H205" s="71"/>
      <c r="I205" s="71"/>
      <c r="J205" s="71"/>
    </row>
    <row r="206" spans="2:13" x14ac:dyDescent="0.25">
      <c r="B206" s="102" t="s">
        <v>3437</v>
      </c>
      <c r="C206" s="72"/>
      <c r="D206" s="72"/>
      <c r="E206" s="72"/>
      <c r="F206" s="72"/>
      <c r="G206" s="72"/>
      <c r="H206" s="72"/>
      <c r="I206" s="72"/>
      <c r="J206" s="72"/>
    </row>
    <row r="207" spans="2:13" x14ac:dyDescent="0.25">
      <c r="B207" s="102" t="s">
        <v>3438</v>
      </c>
      <c r="C207" s="72"/>
      <c r="D207" s="72"/>
      <c r="E207" s="72"/>
      <c r="F207" s="72"/>
      <c r="G207" s="72"/>
      <c r="H207" s="72"/>
      <c r="I207" s="72"/>
      <c r="J207" s="72"/>
    </row>
    <row r="208" spans="2:13" x14ac:dyDescent="0.25">
      <c r="B208" s="103" t="s">
        <v>3439</v>
      </c>
      <c r="C208" s="103"/>
      <c r="D208" s="103"/>
      <c r="E208" s="103"/>
      <c r="F208" s="103"/>
      <c r="G208" s="103"/>
      <c r="H208" s="103"/>
      <c r="I208" s="103"/>
      <c r="J208" s="103"/>
    </row>
  </sheetData>
  <mergeCells count="6">
    <mergeCell ref="C110:D110"/>
    <mergeCell ref="B63:C63"/>
    <mergeCell ref="B83:C83"/>
    <mergeCell ref="C107:D107"/>
    <mergeCell ref="C108:D108"/>
    <mergeCell ref="C109:D109"/>
  </mergeCells>
  <pageMargins left="0.23622047244094491" right="7.874015748031496E-2" top="0.94488188976377963" bottom="0.47244094488188981" header="0.51181102362204722" footer="0.51181102362204722"/>
  <pageSetup paperSize="9" scale="57" firstPageNumber="5" orientation="portrait" useFirstPageNumber="1" r:id="rId1"/>
  <headerFooter alignWithMargins="0">
    <oddFooter>&amp;L&amp;G&amp;CPage &amp;P de 13&amp;R&amp;D</oddFooter>
  </headerFooter>
  <rowBreaks count="2" manualBreakCount="2">
    <brk id="100" max="12" man="1"/>
    <brk id="186" max="12"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2620-FDDA-43F2-974A-28226321BCD6}">
  <sheetPr>
    <tabColor rgb="FF243386"/>
  </sheetPr>
  <dimension ref="A1:O152"/>
  <sheetViews>
    <sheetView zoomScale="80" zoomScaleNormal="80" workbookViewId="0">
      <selection activeCell="C4" sqref="C4"/>
    </sheetView>
  </sheetViews>
  <sheetFormatPr baseColWidth="10" defaultColWidth="11.44140625" defaultRowHeight="13.2" x14ac:dyDescent="0.25"/>
  <cols>
    <col min="1" max="1" width="5.6640625" style="29" customWidth="1"/>
    <col min="2" max="2" width="17" style="29" customWidth="1"/>
    <col min="3" max="3" width="19.44140625" style="29" customWidth="1"/>
    <col min="4" max="4" width="12.6640625" style="29" customWidth="1"/>
    <col min="5" max="5" width="12.44140625" style="29" customWidth="1"/>
    <col min="6" max="6" width="12.33203125" style="29" customWidth="1"/>
    <col min="7" max="8" width="10.6640625" style="29" customWidth="1"/>
    <col min="9" max="9" width="12.5546875" style="29" customWidth="1"/>
    <col min="10" max="10" width="11.33203125" style="29" customWidth="1"/>
    <col min="11" max="12" width="12.44140625" style="29" customWidth="1"/>
    <col min="13" max="13" width="14" style="29" customWidth="1"/>
    <col min="14" max="14" width="11.44140625" style="29" customWidth="1"/>
    <col min="15" max="16384" width="11.44140625" style="29"/>
  </cols>
  <sheetData>
    <row r="1" spans="1:13" s="34" customFormat="1" ht="20.25" customHeight="1" x14ac:dyDescent="0.3">
      <c r="A1" s="385"/>
      <c r="B1" s="386" t="s">
        <v>3203</v>
      </c>
      <c r="C1" s="387"/>
      <c r="D1" s="387"/>
      <c r="E1" s="387"/>
      <c r="F1" s="387"/>
      <c r="G1" s="387"/>
      <c r="H1" s="387"/>
      <c r="I1" s="387"/>
      <c r="J1" s="387"/>
      <c r="K1" s="387"/>
      <c r="L1" s="387"/>
      <c r="M1" s="387"/>
    </row>
    <row r="2" spans="1:13" x14ac:dyDescent="0.25">
      <c r="A2" s="496"/>
    </row>
    <row r="3" spans="1:13" x14ac:dyDescent="0.25">
      <c r="A3" s="496"/>
      <c r="B3" s="21" t="s">
        <v>3441</v>
      </c>
      <c r="C3" s="76" t="s">
        <v>274</v>
      </c>
      <c r="D3" s="388"/>
      <c r="E3" s="389"/>
    </row>
    <row r="4" spans="1:13" x14ac:dyDescent="0.25">
      <c r="A4" s="496"/>
      <c r="B4" s="21" t="s">
        <v>3442</v>
      </c>
      <c r="C4" s="77">
        <f>'D1.Overview'!C4</f>
        <v>46203</v>
      </c>
    </row>
    <row r="5" spans="1:13" x14ac:dyDescent="0.25">
      <c r="A5" s="496"/>
    </row>
    <row r="6" spans="1:13" s="34" customFormat="1" ht="20.25" customHeight="1" x14ac:dyDescent="0.3">
      <c r="A6" s="385">
        <v>5</v>
      </c>
      <c r="B6" s="386" t="s">
        <v>3443</v>
      </c>
      <c r="C6" s="387"/>
      <c r="D6" s="387"/>
      <c r="E6" s="387"/>
      <c r="F6" s="387"/>
      <c r="G6" s="387"/>
      <c r="H6" s="387"/>
      <c r="I6" s="387"/>
      <c r="J6" s="387"/>
      <c r="K6" s="387"/>
      <c r="L6" s="387"/>
      <c r="M6" s="387"/>
    </row>
    <row r="9" spans="1:13" x14ac:dyDescent="0.25">
      <c r="A9" s="33" t="s">
        <v>3444</v>
      </c>
      <c r="B9" s="24" t="s">
        <v>3445</v>
      </c>
    </row>
    <row r="10" spans="1:13" x14ac:dyDescent="0.25">
      <c r="A10" s="33"/>
    </row>
    <row r="11" spans="1:13" ht="30" customHeight="1" x14ac:dyDescent="0.25">
      <c r="A11" s="33"/>
      <c r="C11" s="472" t="s">
        <v>3446</v>
      </c>
    </row>
    <row r="12" spans="1:13" x14ac:dyDescent="0.25">
      <c r="A12" s="33"/>
      <c r="B12" s="390" t="s">
        <v>3336</v>
      </c>
      <c r="C12" s="100"/>
    </row>
    <row r="13" spans="1:13" x14ac:dyDescent="0.25">
      <c r="A13" s="33"/>
      <c r="B13" s="390" t="s">
        <v>3337</v>
      </c>
      <c r="C13" s="100"/>
    </row>
    <row r="14" spans="1:13" x14ac:dyDescent="0.25">
      <c r="A14" s="33"/>
      <c r="B14" s="473" t="s">
        <v>3338</v>
      </c>
      <c r="C14" s="90"/>
    </row>
    <row r="15" spans="1:13" x14ac:dyDescent="0.25">
      <c r="A15" s="33"/>
      <c r="B15" s="474" t="s">
        <v>3339</v>
      </c>
      <c r="C15" s="73"/>
    </row>
    <row r="16" spans="1:13" x14ac:dyDescent="0.25">
      <c r="A16" s="33"/>
      <c r="B16" s="474" t="s">
        <v>3340</v>
      </c>
      <c r="C16" s="73"/>
    </row>
    <row r="17" spans="1:15" x14ac:dyDescent="0.25">
      <c r="A17" s="33"/>
      <c r="B17" s="474" t="s">
        <v>3341</v>
      </c>
      <c r="C17" s="73"/>
    </row>
    <row r="18" spans="1:15" x14ac:dyDescent="0.25">
      <c r="A18" s="33"/>
      <c r="B18" s="475" t="s">
        <v>3447</v>
      </c>
      <c r="C18" s="89"/>
    </row>
    <row r="19" spans="1:15" x14ac:dyDescent="0.25">
      <c r="A19" s="33"/>
      <c r="B19" s="476" t="s">
        <v>3448</v>
      </c>
      <c r="C19" s="86"/>
    </row>
    <row r="20" spans="1:15" x14ac:dyDescent="0.25">
      <c r="A20" s="33"/>
    </row>
    <row r="21" spans="1:15" x14ac:dyDescent="0.25">
      <c r="A21" s="33"/>
    </row>
    <row r="22" spans="1:15" x14ac:dyDescent="0.25">
      <c r="A22" s="33"/>
    </row>
    <row r="23" spans="1:15" x14ac:dyDescent="0.25">
      <c r="A23" s="33" t="s">
        <v>3449</v>
      </c>
      <c r="B23" s="477" t="s">
        <v>3450</v>
      </c>
    </row>
    <row r="24" spans="1:15" x14ac:dyDescent="0.25">
      <c r="A24" s="33"/>
    </row>
    <row r="25" spans="1:15" s="34" customFormat="1" ht="63.75" customHeight="1" x14ac:dyDescent="0.3">
      <c r="A25" s="104"/>
      <c r="D25" s="508" t="s">
        <v>3451</v>
      </c>
      <c r="E25" s="508" t="s">
        <v>3452</v>
      </c>
      <c r="F25" s="508" t="s">
        <v>3453</v>
      </c>
      <c r="G25" s="508" t="s">
        <v>3454</v>
      </c>
      <c r="H25" s="508" t="s">
        <v>3455</v>
      </c>
      <c r="I25" s="508" t="s">
        <v>3456</v>
      </c>
      <c r="J25" s="508" t="s">
        <v>3457</v>
      </c>
      <c r="K25" s="508" t="s">
        <v>3458</v>
      </c>
      <c r="L25" s="508" t="s">
        <v>3459</v>
      </c>
      <c r="M25" s="508" t="s">
        <v>3460</v>
      </c>
      <c r="N25" s="508" t="s">
        <v>352</v>
      </c>
      <c r="O25" s="508" t="s">
        <v>3347</v>
      </c>
    </row>
    <row r="26" spans="1:15" x14ac:dyDescent="0.25">
      <c r="A26" s="33"/>
      <c r="B26" s="419" t="s">
        <v>3461</v>
      </c>
      <c r="C26" s="420" t="s">
        <v>163</v>
      </c>
      <c r="D26" s="91"/>
      <c r="E26" s="91"/>
      <c r="F26" s="91"/>
      <c r="G26" s="91"/>
      <c r="H26" s="91"/>
      <c r="I26" s="91"/>
      <c r="J26" s="91"/>
      <c r="K26" s="91"/>
      <c r="L26" s="91"/>
      <c r="M26" s="91"/>
      <c r="N26" s="91"/>
      <c r="O26" s="91"/>
    </row>
    <row r="27" spans="1:15" x14ac:dyDescent="0.25">
      <c r="A27" s="33"/>
      <c r="B27" s="422"/>
      <c r="C27" s="430" t="s">
        <v>3462</v>
      </c>
      <c r="D27" s="93"/>
      <c r="E27" s="93"/>
      <c r="F27" s="93"/>
      <c r="G27" s="93"/>
      <c r="H27" s="93"/>
      <c r="I27" s="93"/>
      <c r="J27" s="93"/>
      <c r="K27" s="93"/>
      <c r="L27" s="93"/>
      <c r="M27" s="93"/>
      <c r="N27" s="93"/>
      <c r="O27" s="93"/>
    </row>
    <row r="28" spans="1:15" x14ac:dyDescent="0.25">
      <c r="A28" s="33"/>
      <c r="B28" s="425"/>
      <c r="C28" s="431" t="s">
        <v>3463</v>
      </c>
      <c r="D28" s="96"/>
      <c r="E28" s="96"/>
      <c r="F28" s="96"/>
      <c r="G28" s="96"/>
      <c r="H28" s="96"/>
      <c r="I28" s="96"/>
      <c r="J28" s="96"/>
      <c r="K28" s="96"/>
      <c r="L28" s="96"/>
      <c r="M28" s="96"/>
      <c r="N28" s="96"/>
      <c r="O28" s="96"/>
    </row>
    <row r="29" spans="1:15" x14ac:dyDescent="0.25">
      <c r="A29" s="33"/>
      <c r="B29" s="422" t="s">
        <v>3464</v>
      </c>
      <c r="C29" s="420" t="s">
        <v>3465</v>
      </c>
      <c r="D29" s="91"/>
      <c r="E29" s="91"/>
      <c r="F29" s="91"/>
      <c r="G29" s="91"/>
      <c r="H29" s="91"/>
      <c r="I29" s="91"/>
      <c r="J29" s="91"/>
      <c r="K29" s="91"/>
      <c r="L29" s="91"/>
      <c r="M29" s="91"/>
      <c r="N29" s="91"/>
      <c r="O29" s="91"/>
    </row>
    <row r="30" spans="1:15" x14ac:dyDescent="0.25">
      <c r="A30" s="33"/>
      <c r="B30" s="422"/>
      <c r="C30" s="430"/>
      <c r="D30" s="93"/>
      <c r="E30" s="93"/>
      <c r="F30" s="93"/>
      <c r="G30" s="93"/>
      <c r="H30" s="93"/>
      <c r="I30" s="93"/>
      <c r="J30" s="93"/>
      <c r="K30" s="93"/>
      <c r="L30" s="93"/>
      <c r="M30" s="93"/>
      <c r="N30" s="93"/>
      <c r="O30" s="93"/>
    </row>
    <row r="31" spans="1:15" x14ac:dyDescent="0.25">
      <c r="A31" s="33"/>
      <c r="B31" s="422" t="s">
        <v>3466</v>
      </c>
      <c r="C31" s="431" t="s">
        <v>3463</v>
      </c>
      <c r="D31" s="96"/>
      <c r="E31" s="96"/>
      <c r="F31" s="96"/>
      <c r="G31" s="96"/>
      <c r="H31" s="96"/>
      <c r="I31" s="96"/>
      <c r="J31" s="96"/>
      <c r="K31" s="96"/>
      <c r="L31" s="96"/>
      <c r="M31" s="96"/>
      <c r="N31" s="96"/>
      <c r="O31" s="96"/>
    </row>
    <row r="32" spans="1:15" x14ac:dyDescent="0.25">
      <c r="A32" s="33"/>
      <c r="B32" s="432" t="s">
        <v>352</v>
      </c>
      <c r="C32" s="414"/>
      <c r="D32" s="100"/>
      <c r="E32" s="100"/>
      <c r="F32" s="100"/>
      <c r="G32" s="100"/>
      <c r="H32" s="100"/>
      <c r="I32" s="100"/>
      <c r="J32" s="100"/>
      <c r="K32" s="100"/>
      <c r="L32" s="100"/>
      <c r="M32" s="100"/>
      <c r="N32" s="100"/>
      <c r="O32" s="100"/>
    </row>
    <row r="33" spans="1:7" x14ac:dyDescent="0.25">
      <c r="A33" s="33"/>
    </row>
    <row r="34" spans="1:7" x14ac:dyDescent="0.25">
      <c r="A34" s="33"/>
    </row>
    <row r="35" spans="1:7" x14ac:dyDescent="0.25">
      <c r="A35" s="33" t="s">
        <v>3467</v>
      </c>
      <c r="B35" s="24" t="s">
        <v>3468</v>
      </c>
    </row>
    <row r="36" spans="1:7" x14ac:dyDescent="0.25">
      <c r="A36" s="33"/>
    </row>
    <row r="37" spans="1:7" x14ac:dyDescent="0.25">
      <c r="A37" s="33"/>
      <c r="D37" s="508" t="s">
        <v>1642</v>
      </c>
      <c r="E37" s="508" t="s">
        <v>3469</v>
      </c>
      <c r="F37" s="508" t="s">
        <v>3470</v>
      </c>
      <c r="G37" s="508" t="s">
        <v>352</v>
      </c>
    </row>
    <row r="38" spans="1:7" x14ac:dyDescent="0.25">
      <c r="A38" s="33"/>
      <c r="B38" s="419" t="s">
        <v>3461</v>
      </c>
      <c r="C38" s="420" t="s">
        <v>163</v>
      </c>
      <c r="D38" s="91"/>
      <c r="E38" s="91"/>
      <c r="F38" s="91"/>
      <c r="G38" s="91"/>
    </row>
    <row r="39" spans="1:7" x14ac:dyDescent="0.25">
      <c r="A39" s="33"/>
      <c r="B39" s="422"/>
      <c r="C39" s="430" t="s">
        <v>3471</v>
      </c>
      <c r="D39" s="93"/>
      <c r="E39" s="93"/>
      <c r="F39" s="93"/>
      <c r="G39" s="93"/>
    </row>
    <row r="40" spans="1:7" x14ac:dyDescent="0.25">
      <c r="A40" s="33"/>
      <c r="B40" s="425"/>
      <c r="C40" s="431" t="s">
        <v>3463</v>
      </c>
      <c r="D40" s="96"/>
      <c r="E40" s="96"/>
      <c r="F40" s="96"/>
      <c r="G40" s="96"/>
    </row>
    <row r="41" spans="1:7" x14ac:dyDescent="0.25">
      <c r="A41" s="33"/>
      <c r="B41" s="419" t="s">
        <v>3464</v>
      </c>
      <c r="C41" s="420" t="s">
        <v>3463</v>
      </c>
      <c r="D41" s="91"/>
      <c r="E41" s="91"/>
      <c r="F41" s="91"/>
      <c r="G41" s="91"/>
    </row>
    <row r="42" spans="1:7" x14ac:dyDescent="0.25">
      <c r="A42" s="33"/>
      <c r="B42" s="422"/>
      <c r="C42" s="430" t="s">
        <v>3463</v>
      </c>
      <c r="D42" s="93"/>
      <c r="E42" s="93"/>
      <c r="F42" s="93"/>
      <c r="G42" s="93"/>
    </row>
    <row r="43" spans="1:7" x14ac:dyDescent="0.25">
      <c r="A43" s="33"/>
      <c r="B43" s="422" t="s">
        <v>3472</v>
      </c>
      <c r="C43" s="431" t="s">
        <v>3463</v>
      </c>
      <c r="D43" s="96"/>
      <c r="E43" s="96"/>
      <c r="F43" s="96"/>
      <c r="G43" s="96"/>
    </row>
    <row r="44" spans="1:7" x14ac:dyDescent="0.25">
      <c r="A44" s="33"/>
      <c r="B44" s="432" t="s">
        <v>352</v>
      </c>
      <c r="C44" s="409"/>
      <c r="D44" s="100"/>
      <c r="E44" s="100"/>
      <c r="F44" s="100"/>
      <c r="G44" s="100"/>
    </row>
    <row r="45" spans="1:7" x14ac:dyDescent="0.25">
      <c r="A45" s="33"/>
    </row>
    <row r="46" spans="1:7" x14ac:dyDescent="0.25">
      <c r="A46" s="33"/>
    </row>
    <row r="47" spans="1:7" x14ac:dyDescent="0.25">
      <c r="A47" s="33" t="s">
        <v>3473</v>
      </c>
      <c r="B47" s="24" t="s">
        <v>3474</v>
      </c>
    </row>
    <row r="48" spans="1:7" ht="25.5" customHeight="1" x14ac:dyDescent="0.25">
      <c r="A48" s="33"/>
      <c r="D48" s="429" t="s">
        <v>3429</v>
      </c>
      <c r="E48" s="429" t="s">
        <v>3347</v>
      </c>
    </row>
    <row r="49" spans="1:5" x14ac:dyDescent="0.25">
      <c r="A49" s="33"/>
      <c r="B49" s="404" t="s">
        <v>977</v>
      </c>
      <c r="C49" s="433"/>
      <c r="D49" s="91"/>
      <c r="E49" s="91"/>
    </row>
    <row r="50" spans="1:5" x14ac:dyDescent="0.25">
      <c r="A50" s="33"/>
      <c r="B50" s="408" t="s">
        <v>979</v>
      </c>
      <c r="C50" s="434"/>
      <c r="D50" s="93"/>
      <c r="E50" s="93"/>
    </row>
    <row r="51" spans="1:5" x14ac:dyDescent="0.25">
      <c r="A51" s="33"/>
      <c r="B51" s="408" t="s">
        <v>981</v>
      </c>
      <c r="C51" s="434"/>
      <c r="D51" s="93"/>
      <c r="E51" s="93"/>
    </row>
    <row r="52" spans="1:5" x14ac:dyDescent="0.25">
      <c r="A52" s="33"/>
      <c r="B52" s="408" t="s">
        <v>983</v>
      </c>
      <c r="C52" s="434"/>
      <c r="D52" s="93"/>
      <c r="E52" s="93"/>
    </row>
    <row r="53" spans="1:5" x14ac:dyDescent="0.25">
      <c r="A53" s="33"/>
      <c r="B53" s="408" t="s">
        <v>985</v>
      </c>
      <c r="C53" s="434"/>
      <c r="D53" s="93"/>
      <c r="E53" s="93"/>
    </row>
    <row r="54" spans="1:5" x14ac:dyDescent="0.25">
      <c r="A54" s="33"/>
      <c r="B54" s="408" t="s">
        <v>987</v>
      </c>
      <c r="C54" s="434"/>
      <c r="D54" s="93"/>
      <c r="E54" s="93"/>
    </row>
    <row r="55" spans="1:5" x14ac:dyDescent="0.25">
      <c r="A55" s="33"/>
      <c r="B55" s="408" t="s">
        <v>989</v>
      </c>
      <c r="C55" s="434"/>
      <c r="D55" s="93"/>
      <c r="E55" s="93"/>
    </row>
    <row r="56" spans="1:5" x14ac:dyDescent="0.25">
      <c r="A56" s="33"/>
      <c r="B56" s="408" t="s">
        <v>991</v>
      </c>
      <c r="C56" s="434"/>
      <c r="D56" s="93"/>
      <c r="E56" s="93"/>
    </row>
    <row r="57" spans="1:5" x14ac:dyDescent="0.25">
      <c r="A57" s="33"/>
      <c r="B57" s="408" t="s">
        <v>993</v>
      </c>
      <c r="C57" s="434"/>
      <c r="D57" s="93"/>
      <c r="E57" s="93"/>
    </row>
    <row r="58" spans="1:5" x14ac:dyDescent="0.25">
      <c r="A58" s="33"/>
      <c r="B58" s="408" t="s">
        <v>995</v>
      </c>
      <c r="C58" s="434"/>
      <c r="D58" s="93"/>
      <c r="E58" s="93"/>
    </row>
    <row r="59" spans="1:5" x14ac:dyDescent="0.25">
      <c r="A59" s="33"/>
      <c r="B59" s="408" t="s">
        <v>997</v>
      </c>
      <c r="C59" s="434"/>
      <c r="D59" s="93"/>
      <c r="E59" s="93"/>
    </row>
    <row r="60" spans="1:5" x14ac:dyDescent="0.25">
      <c r="A60" s="33"/>
      <c r="B60" s="408" t="s">
        <v>999</v>
      </c>
      <c r="C60" s="434"/>
      <c r="D60" s="93"/>
      <c r="E60" s="93"/>
    </row>
    <row r="61" spans="1:5" x14ac:dyDescent="0.25">
      <c r="A61" s="33"/>
      <c r="B61" s="408" t="s">
        <v>1002</v>
      </c>
      <c r="C61" s="434"/>
      <c r="D61" s="93"/>
      <c r="E61" s="93"/>
    </row>
    <row r="62" spans="1:5" x14ac:dyDescent="0.25">
      <c r="A62" s="33"/>
      <c r="B62" s="408" t="s">
        <v>1004</v>
      </c>
      <c r="C62" s="434"/>
      <c r="D62" s="93"/>
      <c r="E62" s="93"/>
    </row>
    <row r="63" spans="1:5" x14ac:dyDescent="0.25">
      <c r="A63" s="33"/>
      <c r="B63" s="408"/>
      <c r="C63" s="434"/>
      <c r="D63" s="93"/>
      <c r="E63" s="93"/>
    </row>
    <row r="64" spans="1:5" x14ac:dyDescent="0.25">
      <c r="A64" s="33"/>
      <c r="B64" s="408"/>
      <c r="C64" s="434"/>
      <c r="D64" s="93"/>
      <c r="E64" s="93"/>
    </row>
    <row r="65" spans="1:5" hidden="1" x14ac:dyDescent="0.25">
      <c r="A65" s="33"/>
      <c r="B65" s="408"/>
      <c r="C65" s="434"/>
      <c r="D65" s="93"/>
      <c r="E65" s="93"/>
    </row>
    <row r="66" spans="1:5" hidden="1" x14ac:dyDescent="0.25">
      <c r="A66" s="33"/>
      <c r="B66" s="408"/>
      <c r="C66" s="434"/>
      <c r="D66" s="93"/>
      <c r="E66" s="93"/>
    </row>
    <row r="67" spans="1:5" hidden="1" x14ac:dyDescent="0.25">
      <c r="A67" s="33"/>
      <c r="B67" s="408"/>
      <c r="C67" s="434"/>
      <c r="D67" s="93"/>
      <c r="E67" s="93"/>
    </row>
    <row r="68" spans="1:5" hidden="1" x14ac:dyDescent="0.25">
      <c r="A68" s="33"/>
      <c r="B68" s="408"/>
      <c r="C68" s="434"/>
      <c r="D68" s="93"/>
      <c r="E68" s="93"/>
    </row>
    <row r="69" spans="1:5" hidden="1" x14ac:dyDescent="0.25">
      <c r="A69" s="33"/>
      <c r="B69" s="408"/>
      <c r="C69" s="434"/>
      <c r="D69" s="93"/>
      <c r="E69" s="93"/>
    </row>
    <row r="70" spans="1:5" hidden="1" x14ac:dyDescent="0.25">
      <c r="A70" s="33"/>
      <c r="B70" s="408"/>
      <c r="C70" s="434"/>
      <c r="D70" s="93"/>
      <c r="E70" s="93"/>
    </row>
    <row r="71" spans="1:5" hidden="1" x14ac:dyDescent="0.25">
      <c r="A71" s="33"/>
      <c r="B71" s="408"/>
      <c r="C71" s="434"/>
      <c r="D71" s="93"/>
      <c r="E71" s="93"/>
    </row>
    <row r="72" spans="1:5" hidden="1" x14ac:dyDescent="0.25">
      <c r="A72" s="33"/>
      <c r="B72" s="408"/>
      <c r="C72" s="434"/>
      <c r="D72" s="93"/>
      <c r="E72" s="93"/>
    </row>
    <row r="73" spans="1:5" x14ac:dyDescent="0.25">
      <c r="A73" s="33"/>
      <c r="B73" s="408" t="s">
        <v>1007</v>
      </c>
      <c r="C73" s="434"/>
      <c r="D73" s="93"/>
      <c r="E73" s="93"/>
    </row>
    <row r="74" spans="1:5" x14ac:dyDescent="0.25">
      <c r="A74" s="33"/>
      <c r="B74" s="408" t="s">
        <v>1247</v>
      </c>
      <c r="C74" s="434"/>
      <c r="D74" s="93"/>
      <c r="E74" s="93"/>
    </row>
    <row r="75" spans="1:5" x14ac:dyDescent="0.25">
      <c r="A75" s="33"/>
      <c r="B75" s="410" t="s">
        <v>352</v>
      </c>
      <c r="C75" s="435"/>
      <c r="D75" s="96"/>
      <c r="E75" s="96"/>
    </row>
    <row r="76" spans="1:5" x14ac:dyDescent="0.25">
      <c r="A76" s="33"/>
    </row>
    <row r="77" spans="1:5" x14ac:dyDescent="0.25">
      <c r="A77" s="33"/>
    </row>
    <row r="78" spans="1:5" x14ac:dyDescent="0.25">
      <c r="A78" s="33" t="s">
        <v>3475</v>
      </c>
      <c r="B78" s="477" t="s">
        <v>3476</v>
      </c>
    </row>
    <row r="80" spans="1:5" x14ac:dyDescent="0.25">
      <c r="A80" s="33"/>
      <c r="C80" s="399" t="s">
        <v>3347</v>
      </c>
      <c r="D80" s="33"/>
    </row>
    <row r="81" spans="1:4" x14ac:dyDescent="0.25">
      <c r="A81" s="33"/>
      <c r="B81" s="420" t="s">
        <v>3400</v>
      </c>
      <c r="C81" s="91"/>
    </row>
    <row r="82" spans="1:4" x14ac:dyDescent="0.25">
      <c r="A82" s="33"/>
      <c r="B82" s="430" t="s">
        <v>3401</v>
      </c>
      <c r="C82" s="93"/>
    </row>
    <row r="83" spans="1:4" x14ac:dyDescent="0.25">
      <c r="A83" s="33"/>
      <c r="B83" s="430" t="s">
        <v>3477</v>
      </c>
      <c r="C83" s="93"/>
    </row>
    <row r="84" spans="1:4" x14ac:dyDescent="0.25">
      <c r="A84" s="33"/>
      <c r="B84" s="430" t="s">
        <v>3478</v>
      </c>
      <c r="C84" s="93"/>
    </row>
    <row r="85" spans="1:4" x14ac:dyDescent="0.25">
      <c r="A85" s="33"/>
      <c r="B85" s="430" t="s">
        <v>350</v>
      </c>
      <c r="C85" s="93"/>
    </row>
    <row r="86" spans="1:4" x14ac:dyDescent="0.25">
      <c r="A86" s="33"/>
      <c r="B86" s="431" t="s">
        <v>1009</v>
      </c>
      <c r="C86" s="96"/>
    </row>
    <row r="87" spans="1:4" x14ac:dyDescent="0.25">
      <c r="A87" s="33"/>
    </row>
    <row r="88" spans="1:4" x14ac:dyDescent="0.25">
      <c r="A88" s="33"/>
    </row>
    <row r="89" spans="1:4" x14ac:dyDescent="0.25">
      <c r="A89" s="33" t="s">
        <v>3479</v>
      </c>
      <c r="B89" s="477" t="s">
        <v>3480</v>
      </c>
    </row>
    <row r="91" spans="1:4" x14ac:dyDescent="0.25">
      <c r="A91" s="33"/>
      <c r="C91" s="399" t="s">
        <v>3347</v>
      </c>
      <c r="D91" s="500"/>
    </row>
    <row r="92" spans="1:4" x14ac:dyDescent="0.25">
      <c r="A92" s="33"/>
      <c r="B92" s="420" t="s">
        <v>261</v>
      </c>
      <c r="C92" s="91"/>
      <c r="D92" s="502"/>
    </row>
    <row r="93" spans="1:4" x14ac:dyDescent="0.25">
      <c r="A93" s="33"/>
      <c r="B93" s="430" t="s">
        <v>465</v>
      </c>
      <c r="C93" s="93"/>
      <c r="D93" s="502"/>
    </row>
    <row r="94" spans="1:4" x14ac:dyDescent="0.25">
      <c r="A94" s="33"/>
      <c r="B94" s="430" t="s">
        <v>451</v>
      </c>
      <c r="C94" s="93"/>
      <c r="D94" s="502"/>
    </row>
    <row r="95" spans="1:4" x14ac:dyDescent="0.25">
      <c r="A95" s="33"/>
      <c r="B95" s="431" t="s">
        <v>350</v>
      </c>
      <c r="C95" s="96"/>
    </row>
    <row r="96" spans="1:4" x14ac:dyDescent="0.25">
      <c r="A96" s="33"/>
    </row>
    <row r="97" spans="1:5" x14ac:dyDescent="0.25">
      <c r="A97" s="33"/>
    </row>
    <row r="98" spans="1:5" x14ac:dyDescent="0.25">
      <c r="A98" s="33" t="s">
        <v>3481</v>
      </c>
      <c r="B98" s="477" t="s">
        <v>3482</v>
      </c>
    </row>
    <row r="99" spans="1:5" x14ac:dyDescent="0.25">
      <c r="A99" s="33"/>
    </row>
    <row r="100" spans="1:5" x14ac:dyDescent="0.25">
      <c r="A100" s="33"/>
      <c r="C100" s="399" t="s">
        <v>3347</v>
      </c>
      <c r="D100" s="500"/>
    </row>
    <row r="101" spans="1:5" x14ac:dyDescent="0.25">
      <c r="A101" s="33"/>
      <c r="B101" s="420" t="s">
        <v>1060</v>
      </c>
      <c r="C101" s="91"/>
      <c r="D101" s="502"/>
    </row>
    <row r="102" spans="1:5" x14ac:dyDescent="0.25">
      <c r="A102" s="33"/>
      <c r="B102" s="430" t="s">
        <v>3396</v>
      </c>
      <c r="C102" s="93"/>
      <c r="D102" s="502"/>
    </row>
    <row r="103" spans="1:5" x14ac:dyDescent="0.25">
      <c r="A103" s="33"/>
      <c r="B103" s="430" t="s">
        <v>3397</v>
      </c>
      <c r="C103" s="93"/>
      <c r="D103" s="502"/>
    </row>
    <row r="104" spans="1:5" x14ac:dyDescent="0.25">
      <c r="A104" s="33"/>
      <c r="B104" s="430" t="s">
        <v>350</v>
      </c>
      <c r="C104" s="93"/>
    </row>
    <row r="105" spans="1:5" x14ac:dyDescent="0.25">
      <c r="A105" s="33"/>
      <c r="B105" s="431" t="s">
        <v>1009</v>
      </c>
      <c r="C105" s="96"/>
    </row>
    <row r="106" spans="1:5" x14ac:dyDescent="0.25">
      <c r="A106" s="33"/>
    </row>
    <row r="107" spans="1:5" x14ac:dyDescent="0.25">
      <c r="A107" s="33"/>
    </row>
    <row r="108" spans="1:5" x14ac:dyDescent="0.25">
      <c r="A108" s="33" t="s">
        <v>3483</v>
      </c>
      <c r="B108" s="477" t="s">
        <v>3484</v>
      </c>
    </row>
    <row r="109" spans="1:5" x14ac:dyDescent="0.25">
      <c r="B109" s="477"/>
    </row>
    <row r="110" spans="1:5" x14ac:dyDescent="0.25">
      <c r="A110" s="33"/>
      <c r="B110" s="420" t="s">
        <v>3485</v>
      </c>
      <c r="C110" s="497"/>
      <c r="D110" s="101"/>
    </row>
    <row r="111" spans="1:5" x14ac:dyDescent="0.25">
      <c r="B111" s="431" t="s">
        <v>3415</v>
      </c>
      <c r="C111" s="499"/>
      <c r="D111" s="518"/>
    </row>
    <row r="112" spans="1:5" x14ac:dyDescent="0.25">
      <c r="B112" s="28"/>
      <c r="C112" s="478"/>
      <c r="D112" s="478"/>
      <c r="E112" s="33"/>
    </row>
    <row r="113" spans="1:5" x14ac:dyDescent="0.25">
      <c r="B113" s="420" t="s">
        <v>3417</v>
      </c>
      <c r="C113" s="420"/>
      <c r="D113" s="91"/>
    </row>
    <row r="114" spans="1:5" x14ac:dyDescent="0.25">
      <c r="B114" s="431" t="s">
        <v>3418</v>
      </c>
      <c r="C114" s="431"/>
      <c r="D114" s="96"/>
    </row>
    <row r="118" spans="1:5" ht="38.25" customHeight="1" x14ac:dyDescent="0.25">
      <c r="A118" s="115" t="s">
        <v>3486</v>
      </c>
      <c r="B118" s="116" t="s">
        <v>3291</v>
      </c>
      <c r="C118" s="508" t="s">
        <v>3414</v>
      </c>
      <c r="D118" s="508" t="s">
        <v>3421</v>
      </c>
      <c r="E118" s="508" t="s">
        <v>3422</v>
      </c>
    </row>
    <row r="119" spans="1:5" x14ac:dyDescent="0.25">
      <c r="A119" s="109"/>
      <c r="B119" s="509" t="s">
        <v>3487</v>
      </c>
      <c r="C119" s="117"/>
      <c r="D119" s="118"/>
      <c r="E119" s="112"/>
    </row>
    <row r="120" spans="1:5" x14ac:dyDescent="0.25">
      <c r="A120" s="109"/>
      <c r="B120" s="509" t="s">
        <v>3488</v>
      </c>
      <c r="C120" s="119"/>
      <c r="D120" s="118"/>
      <c r="E120" s="112"/>
    </row>
    <row r="121" spans="1:5" x14ac:dyDescent="0.25">
      <c r="A121" s="109"/>
      <c r="B121" s="509" t="s">
        <v>3489</v>
      </c>
      <c r="C121" s="119"/>
      <c r="D121" s="118"/>
      <c r="E121" s="112"/>
    </row>
    <row r="122" spans="1:5" x14ac:dyDescent="0.25">
      <c r="A122" s="109"/>
      <c r="B122" s="509" t="s">
        <v>3490</v>
      </c>
      <c r="C122" s="119"/>
      <c r="D122" s="118"/>
      <c r="E122" s="120"/>
    </row>
    <row r="123" spans="1:5" x14ac:dyDescent="0.25">
      <c r="A123" s="109"/>
      <c r="B123" s="509" t="s">
        <v>3491</v>
      </c>
      <c r="C123" s="119"/>
      <c r="D123" s="118"/>
      <c r="E123" s="112"/>
    </row>
    <row r="124" spans="1:5" x14ac:dyDescent="0.25">
      <c r="A124" s="109"/>
      <c r="B124" s="509" t="s">
        <v>3492</v>
      </c>
      <c r="C124" s="119"/>
      <c r="D124" s="118"/>
      <c r="E124" s="112"/>
    </row>
    <row r="125" spans="1:5" ht="13.5" customHeight="1" x14ac:dyDescent="0.25">
      <c r="A125" s="109"/>
      <c r="B125" s="510" t="s">
        <v>3493</v>
      </c>
      <c r="C125" s="121"/>
      <c r="D125" s="122"/>
      <c r="E125" s="123"/>
    </row>
    <row r="126" spans="1:5" ht="13.5" customHeight="1" x14ac:dyDescent="0.25">
      <c r="A126" s="109"/>
      <c r="B126" s="511" t="s">
        <v>3271</v>
      </c>
      <c r="C126" s="124"/>
      <c r="D126" s="124"/>
      <c r="E126" s="125"/>
    </row>
    <row r="129" spans="1:13" x14ac:dyDescent="0.25">
      <c r="A129" s="29" t="s">
        <v>3494</v>
      </c>
      <c r="B129" s="477" t="s">
        <v>3495</v>
      </c>
    </row>
    <row r="132" spans="1:13" x14ac:dyDescent="0.25">
      <c r="C132" s="399" t="s">
        <v>3271</v>
      </c>
      <c r="D132" s="399" t="s">
        <v>3310</v>
      </c>
      <c r="E132" s="399" t="s">
        <v>3312</v>
      </c>
    </row>
    <row r="133" spans="1:13" x14ac:dyDescent="0.25">
      <c r="B133" s="450" t="s">
        <v>3265</v>
      </c>
      <c r="C133" s="100"/>
      <c r="D133" s="100"/>
      <c r="E133" s="100"/>
    </row>
    <row r="134" spans="1:13" x14ac:dyDescent="0.25">
      <c r="B134" s="28"/>
    </row>
    <row r="135" spans="1:13" x14ac:dyDescent="0.25">
      <c r="A135" s="33"/>
      <c r="B135" s="24"/>
    </row>
    <row r="136" spans="1:13" x14ac:dyDescent="0.25">
      <c r="A136" s="33"/>
      <c r="B136" s="432" t="s">
        <v>3496</v>
      </c>
      <c r="C136" s="391"/>
      <c r="D136" s="391"/>
      <c r="E136" s="391"/>
      <c r="F136" s="391"/>
      <c r="G136" s="391"/>
      <c r="H136" s="391"/>
      <c r="I136" s="391"/>
      <c r="J136" s="391"/>
      <c r="K136" s="391"/>
      <c r="L136" s="391"/>
      <c r="M136" s="414"/>
    </row>
    <row r="137" spans="1:13" ht="25.5" customHeight="1" x14ac:dyDescent="0.25">
      <c r="A137" s="33"/>
      <c r="B137" s="519" t="s">
        <v>3427</v>
      </c>
      <c r="C137" s="508" t="s">
        <v>3428</v>
      </c>
      <c r="D137" s="508" t="s">
        <v>3429</v>
      </c>
      <c r="E137" s="520"/>
      <c r="F137" s="515" t="s">
        <v>3215</v>
      </c>
      <c r="G137" s="516"/>
      <c r="H137" s="513" t="s">
        <v>3430</v>
      </c>
      <c r="I137" s="513" t="s">
        <v>3431</v>
      </c>
      <c r="J137" s="513" t="s">
        <v>3432</v>
      </c>
      <c r="K137" s="513" t="s">
        <v>3433</v>
      </c>
      <c r="L137" s="513" t="s">
        <v>3434</v>
      </c>
      <c r="M137" s="513" t="s">
        <v>3435</v>
      </c>
    </row>
    <row r="138" spans="1:13" x14ac:dyDescent="0.25">
      <c r="A138" s="33"/>
      <c r="B138" s="450"/>
      <c r="C138" s="508"/>
      <c r="D138" s="508"/>
      <c r="E138" s="508" t="s">
        <v>3219</v>
      </c>
      <c r="F138" s="399" t="s">
        <v>3220</v>
      </c>
      <c r="G138" s="399" t="s">
        <v>3221</v>
      </c>
      <c r="H138" s="521"/>
      <c r="I138" s="517"/>
      <c r="J138" s="517"/>
      <c r="K138" s="517"/>
      <c r="L138" s="517"/>
      <c r="M138" s="517"/>
    </row>
    <row r="139" spans="1:13" x14ac:dyDescent="0.25">
      <c r="A139" s="33"/>
      <c r="B139" s="101" t="s">
        <v>3497</v>
      </c>
      <c r="C139" s="101"/>
      <c r="D139" s="71"/>
      <c r="E139" s="71"/>
      <c r="F139" s="71"/>
      <c r="G139" s="71"/>
      <c r="H139" s="71"/>
      <c r="I139" s="71"/>
      <c r="J139" s="71"/>
      <c r="K139" s="71"/>
      <c r="L139" s="71"/>
      <c r="M139" s="71"/>
    </row>
    <row r="140" spans="1:13" x14ac:dyDescent="0.25">
      <c r="A140" s="33"/>
      <c r="B140" s="102" t="s">
        <v>3498</v>
      </c>
      <c r="C140" s="102"/>
      <c r="D140" s="72"/>
      <c r="E140" s="72"/>
      <c r="F140" s="72"/>
      <c r="G140" s="72"/>
      <c r="H140" s="72"/>
      <c r="I140" s="72"/>
      <c r="J140" s="72"/>
      <c r="K140" s="72"/>
      <c r="L140" s="72"/>
      <c r="M140" s="72"/>
    </row>
    <row r="141" spans="1:13" x14ac:dyDescent="0.25">
      <c r="A141" s="33"/>
      <c r="B141" s="102" t="s">
        <v>3499</v>
      </c>
      <c r="C141" s="102"/>
      <c r="D141" s="72"/>
      <c r="E141" s="72"/>
      <c r="F141" s="72"/>
      <c r="G141" s="72"/>
      <c r="H141" s="72"/>
      <c r="I141" s="72"/>
      <c r="J141" s="72"/>
      <c r="K141" s="72"/>
      <c r="L141" s="72"/>
      <c r="M141" s="72"/>
    </row>
    <row r="142" spans="1:13" x14ac:dyDescent="0.25">
      <c r="A142" s="33"/>
      <c r="B142" s="103" t="s">
        <v>3439</v>
      </c>
      <c r="C142" s="103"/>
      <c r="D142" s="103"/>
      <c r="E142" s="103"/>
      <c r="F142" s="103"/>
      <c r="G142" s="103"/>
      <c r="H142" s="103"/>
      <c r="I142" s="103"/>
      <c r="J142" s="103"/>
      <c r="K142" s="103"/>
      <c r="L142" s="103"/>
      <c r="M142" s="103"/>
    </row>
    <row r="143" spans="1:13" x14ac:dyDescent="0.25">
      <c r="A143" s="33"/>
    </row>
    <row r="144" spans="1:13" x14ac:dyDescent="0.25">
      <c r="A144" s="33"/>
      <c r="B144" s="24"/>
    </row>
    <row r="145" spans="1:10" x14ac:dyDescent="0.25">
      <c r="A145" s="33"/>
      <c r="B145" s="432" t="s">
        <v>3500</v>
      </c>
      <c r="C145" s="391"/>
      <c r="D145" s="391"/>
      <c r="E145" s="391"/>
      <c r="F145" s="391"/>
      <c r="G145" s="391"/>
      <c r="H145" s="391"/>
      <c r="I145" s="391"/>
      <c r="J145" s="414"/>
    </row>
    <row r="146" spans="1:10" ht="25.5" customHeight="1" x14ac:dyDescent="0.25">
      <c r="A146" s="33"/>
      <c r="B146" s="519" t="s">
        <v>3427</v>
      </c>
      <c r="C146" s="508" t="s">
        <v>3428</v>
      </c>
      <c r="D146" s="508" t="s">
        <v>3429</v>
      </c>
      <c r="E146" s="520"/>
      <c r="F146" s="515" t="s">
        <v>3215</v>
      </c>
      <c r="G146" s="516"/>
      <c r="H146" s="513" t="s">
        <v>3430</v>
      </c>
      <c r="I146" s="513" t="s">
        <v>3434</v>
      </c>
      <c r="J146" s="513" t="s">
        <v>3435</v>
      </c>
    </row>
    <row r="147" spans="1:10" x14ac:dyDescent="0.25">
      <c r="A147" s="33"/>
      <c r="B147" s="450"/>
      <c r="C147" s="508"/>
      <c r="D147" s="508"/>
      <c r="E147" s="508" t="s">
        <v>3219</v>
      </c>
      <c r="F147" s="399" t="s">
        <v>3220</v>
      </c>
      <c r="G147" s="399" t="s">
        <v>3221</v>
      </c>
      <c r="H147" s="521"/>
      <c r="I147" s="517"/>
      <c r="J147" s="517"/>
    </row>
    <row r="148" spans="1:10" x14ac:dyDescent="0.25">
      <c r="A148" s="33"/>
      <c r="B148" s="101" t="s">
        <v>3497</v>
      </c>
      <c r="C148" s="101"/>
      <c r="D148" s="71"/>
      <c r="E148" s="71"/>
      <c r="F148" s="71"/>
      <c r="G148" s="71"/>
      <c r="H148" s="71"/>
      <c r="I148" s="71"/>
      <c r="J148" s="71"/>
    </row>
    <row r="149" spans="1:10" x14ac:dyDescent="0.25">
      <c r="A149" s="33"/>
      <c r="B149" s="102" t="s">
        <v>3498</v>
      </c>
      <c r="C149" s="102"/>
      <c r="D149" s="72"/>
      <c r="E149" s="72"/>
      <c r="F149" s="72"/>
      <c r="G149" s="72"/>
      <c r="H149" s="72"/>
      <c r="I149" s="72"/>
      <c r="J149" s="72"/>
    </row>
    <row r="150" spans="1:10" x14ac:dyDescent="0.25">
      <c r="A150" s="33"/>
      <c r="B150" s="102" t="s">
        <v>3499</v>
      </c>
      <c r="C150" s="102"/>
      <c r="D150" s="72"/>
      <c r="E150" s="72"/>
      <c r="F150" s="72"/>
      <c r="G150" s="72"/>
      <c r="H150" s="72"/>
      <c r="I150" s="72"/>
      <c r="J150" s="72"/>
    </row>
    <row r="151" spans="1:10" x14ac:dyDescent="0.25">
      <c r="A151" s="33"/>
      <c r="B151" s="103" t="s">
        <v>3439</v>
      </c>
      <c r="C151" s="103"/>
      <c r="D151" s="103"/>
      <c r="E151" s="103"/>
      <c r="F151" s="103"/>
      <c r="G151" s="103"/>
      <c r="H151" s="103"/>
      <c r="I151" s="103"/>
      <c r="J151" s="103"/>
    </row>
    <row r="152" spans="1:10" x14ac:dyDescent="0.25">
      <c r="A152" s="33"/>
    </row>
  </sheetData>
  <pageMargins left="0.23622047244094491" right="7.874015748031496E-2" top="0.94488188976377963" bottom="0.47244094488188981" header="0.51181102362204722" footer="0.51181102362204722"/>
  <pageSetup paperSize="9" scale="54" firstPageNumber="8" orientation="portrait" useFirstPageNumber="1" r:id="rId1"/>
  <headerFooter alignWithMargins="0">
    <oddFooter>&amp;L&amp;G&amp;CPage &amp;P de 13&amp;R&amp;D</oddFooter>
  </headerFooter>
  <rowBreaks count="2" manualBreakCount="2">
    <brk id="46" max="14" man="1"/>
    <brk id="97" max="14"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1D1B5-8FCA-4C39-978A-2C4C858C3BF2}">
  <sheetPr>
    <tabColor rgb="FF243386"/>
  </sheetPr>
  <dimension ref="A1:I69"/>
  <sheetViews>
    <sheetView topLeftCell="A18" zoomScale="80" zoomScaleNormal="80" workbookViewId="0">
      <selection activeCell="L15" sqref="L15"/>
    </sheetView>
  </sheetViews>
  <sheetFormatPr baseColWidth="10" defaultColWidth="11.44140625" defaultRowHeight="13.2" x14ac:dyDescent="0.25"/>
  <cols>
    <col min="1" max="1" width="5.5546875" style="29" customWidth="1"/>
    <col min="2" max="2" width="13.33203125" style="29" customWidth="1"/>
    <col min="3" max="3" width="11.44140625" style="29" customWidth="1"/>
    <col min="4" max="4" width="15" style="29" customWidth="1"/>
    <col min="5" max="5" width="15.33203125" style="29" customWidth="1"/>
    <col min="6" max="7" width="16.6640625" style="29" customWidth="1"/>
    <col min="8" max="8" width="8.6640625" style="29" customWidth="1"/>
    <col min="9" max="9" width="9.5546875" style="29" customWidth="1"/>
    <col min="10" max="10" width="11.44140625" style="29" customWidth="1"/>
    <col min="11" max="16384" width="11.44140625" style="29"/>
  </cols>
  <sheetData>
    <row r="1" spans="1:9" s="34" customFormat="1" ht="20.25" customHeight="1" x14ac:dyDescent="0.25">
      <c r="A1" s="385"/>
      <c r="B1" s="386" t="s">
        <v>3203</v>
      </c>
      <c r="C1" s="387"/>
      <c r="D1" s="387"/>
      <c r="E1" s="387"/>
      <c r="F1" s="387"/>
      <c r="G1" s="387"/>
      <c r="H1" s="29"/>
      <c r="I1" s="29"/>
    </row>
    <row r="2" spans="1:9" x14ac:dyDescent="0.25">
      <c r="A2" s="496"/>
    </row>
    <row r="3" spans="1:9" x14ac:dyDescent="0.25">
      <c r="A3" s="496"/>
      <c r="B3" s="21" t="s">
        <v>3204</v>
      </c>
      <c r="C3" s="76" t="s">
        <v>274</v>
      </c>
      <c r="D3" s="388"/>
      <c r="E3" s="389"/>
    </row>
    <row r="4" spans="1:9" x14ac:dyDescent="0.25">
      <c r="A4" s="496"/>
      <c r="B4" s="21" t="s">
        <v>3205</v>
      </c>
      <c r="C4" s="77">
        <f>'D1.Overview'!C4</f>
        <v>46203</v>
      </c>
    </row>
    <row r="5" spans="1:9" x14ac:dyDescent="0.25">
      <c r="A5" s="496"/>
    </row>
    <row r="6" spans="1:9" s="34" customFormat="1" ht="20.25" customHeight="1" x14ac:dyDescent="0.25">
      <c r="A6" s="385">
        <v>6</v>
      </c>
      <c r="B6" s="386" t="s">
        <v>3501</v>
      </c>
      <c r="C6" s="387"/>
      <c r="D6" s="387"/>
      <c r="E6" s="387"/>
      <c r="F6" s="387"/>
      <c r="G6" s="387"/>
      <c r="H6" s="29"/>
      <c r="I6" s="29"/>
    </row>
    <row r="7" spans="1:9" x14ac:dyDescent="0.25">
      <c r="A7" s="33"/>
    </row>
    <row r="8" spans="1:9" x14ac:dyDescent="0.25">
      <c r="A8" s="33"/>
    </row>
    <row r="9" spans="1:9" x14ac:dyDescent="0.25">
      <c r="A9" s="33" t="s">
        <v>3502</v>
      </c>
      <c r="B9" s="24" t="s">
        <v>3503</v>
      </c>
    </row>
    <row r="10" spans="1:9" x14ac:dyDescent="0.25">
      <c r="A10" s="33"/>
      <c r="B10" s="24"/>
      <c r="D10" s="182">
        <f>YEAR(D11)</f>
        <v>2026</v>
      </c>
      <c r="E10" s="182">
        <f>YEAR(E11)</f>
        <v>2025</v>
      </c>
      <c r="F10" s="182">
        <f>YEAR(F11)</f>
        <v>2024</v>
      </c>
      <c r="G10" s="182">
        <f>YEAR(G11)</f>
        <v>2023</v>
      </c>
    </row>
    <row r="11" spans="1:9" x14ac:dyDescent="0.25">
      <c r="A11" s="33"/>
      <c r="D11" s="522">
        <f>DATE(YEAR(C4), 12, 31)</f>
        <v>46387</v>
      </c>
      <c r="E11" s="522">
        <f>DATE(YEAR(D11)-1, 12, 31)</f>
        <v>46022</v>
      </c>
      <c r="F11" s="522">
        <f>DATE(YEAR(E11)-1, 12, 31)</f>
        <v>45657</v>
      </c>
      <c r="G11" s="522">
        <f>DATE(YEAR(F11)-1, 12, 31)</f>
        <v>45291</v>
      </c>
    </row>
    <row r="12" spans="1:9" x14ac:dyDescent="0.25">
      <c r="A12" s="33"/>
      <c r="B12" s="404" t="s">
        <v>3504</v>
      </c>
      <c r="C12" s="523"/>
      <c r="D12" s="601">
        <v>48850</v>
      </c>
      <c r="E12" s="601">
        <v>45850</v>
      </c>
      <c r="F12" s="601">
        <v>44050</v>
      </c>
      <c r="G12" s="601">
        <v>39150</v>
      </c>
    </row>
    <row r="13" spans="1:9" x14ac:dyDescent="0.25">
      <c r="A13" s="33"/>
      <c r="B13" s="410" t="s">
        <v>3505</v>
      </c>
      <c r="C13" s="524"/>
      <c r="D13" s="605">
        <v>15195.5</v>
      </c>
      <c r="E13" s="603">
        <v>12812.2</v>
      </c>
      <c r="F13" s="603">
        <v>10909.2</v>
      </c>
      <c r="G13" s="603">
        <v>5383.5</v>
      </c>
    </row>
    <row r="14" spans="1:9" x14ac:dyDescent="0.25">
      <c r="A14" s="33"/>
      <c r="B14" s="432" t="s">
        <v>3506</v>
      </c>
      <c r="C14" s="525"/>
      <c r="D14" s="604">
        <v>64045.5</v>
      </c>
      <c r="E14" s="604">
        <v>58662.2</v>
      </c>
      <c r="F14" s="604">
        <v>54959.199999999997</v>
      </c>
      <c r="G14" s="604">
        <v>44533.5</v>
      </c>
    </row>
    <row r="15" spans="1:9" x14ac:dyDescent="0.25">
      <c r="A15" s="33"/>
    </row>
    <row r="16" spans="1:9" x14ac:dyDescent="0.25">
      <c r="A16" s="33"/>
      <c r="B16" s="404" t="s">
        <v>3507</v>
      </c>
      <c r="C16" s="421"/>
      <c r="D16" s="105">
        <f>D14</f>
        <v>64045.5</v>
      </c>
      <c r="E16" s="105">
        <f>E14</f>
        <v>58662.2</v>
      </c>
      <c r="F16" s="105">
        <f>F14</f>
        <v>54959.199999999997</v>
      </c>
      <c r="G16" s="105">
        <f>G14</f>
        <v>44533.5</v>
      </c>
    </row>
    <row r="17" spans="1:7" x14ac:dyDescent="0.25">
      <c r="A17" s="33"/>
      <c r="B17" s="408" t="s">
        <v>3508</v>
      </c>
      <c r="C17" s="424"/>
      <c r="D17" s="107">
        <v>0</v>
      </c>
      <c r="E17" s="107">
        <v>0</v>
      </c>
      <c r="F17" s="107">
        <v>0</v>
      </c>
      <c r="G17" s="107">
        <v>0</v>
      </c>
    </row>
    <row r="18" spans="1:7" x14ac:dyDescent="0.25">
      <c r="A18" s="33"/>
      <c r="B18" s="408" t="s">
        <v>3509</v>
      </c>
      <c r="C18" s="424"/>
      <c r="D18" s="107">
        <v>0</v>
      </c>
      <c r="E18" s="107">
        <v>0</v>
      </c>
      <c r="F18" s="107">
        <v>0</v>
      </c>
      <c r="G18" s="107">
        <v>0</v>
      </c>
    </row>
    <row r="19" spans="1:7" x14ac:dyDescent="0.25">
      <c r="A19" s="33"/>
      <c r="B19" s="408" t="s">
        <v>3510</v>
      </c>
      <c r="C19" s="424"/>
      <c r="D19" s="107">
        <v>0</v>
      </c>
      <c r="E19" s="107">
        <v>0</v>
      </c>
      <c r="F19" s="107">
        <v>0</v>
      </c>
      <c r="G19" s="107">
        <v>0</v>
      </c>
    </row>
    <row r="20" spans="1:7" x14ac:dyDescent="0.25">
      <c r="A20" s="33"/>
      <c r="B20" s="408" t="s">
        <v>3511</v>
      </c>
      <c r="C20" s="424"/>
      <c r="D20" s="107">
        <v>0</v>
      </c>
      <c r="E20" s="107">
        <v>0</v>
      </c>
      <c r="F20" s="107">
        <v>0</v>
      </c>
      <c r="G20" s="107">
        <v>0</v>
      </c>
    </row>
    <row r="21" spans="1:7" x14ac:dyDescent="0.25">
      <c r="A21" s="33"/>
      <c r="B21" s="410" t="s">
        <v>350</v>
      </c>
      <c r="C21" s="426"/>
      <c r="D21" s="106">
        <v>0</v>
      </c>
      <c r="E21" s="106">
        <v>0</v>
      </c>
      <c r="F21" s="106">
        <v>0</v>
      </c>
      <c r="G21" s="106">
        <v>0</v>
      </c>
    </row>
    <row r="22" spans="1:7" x14ac:dyDescent="0.25">
      <c r="A22" s="33"/>
      <c r="B22" s="432" t="s">
        <v>3506</v>
      </c>
      <c r="C22" s="427"/>
      <c r="D22" s="74">
        <f>SUM(D16:D21)</f>
        <v>64045.5</v>
      </c>
      <c r="E22" s="74">
        <f>SUM(E16:E21)</f>
        <v>58662.2</v>
      </c>
      <c r="F22" s="74">
        <f>SUM(F16:F21)</f>
        <v>54959.199999999997</v>
      </c>
      <c r="G22" s="74">
        <f>SUM(G16:G21)</f>
        <v>44533.5</v>
      </c>
    </row>
    <row r="23" spans="1:7" x14ac:dyDescent="0.25">
      <c r="A23" s="33"/>
    </row>
    <row r="24" spans="1:7" x14ac:dyDescent="0.25">
      <c r="A24" s="33"/>
      <c r="B24" s="404" t="s">
        <v>507</v>
      </c>
      <c r="C24" s="421"/>
      <c r="D24" s="105" cm="1">
        <f t="array" ref="D24">(SUMPRODUCT((Cube!$A$2:$A$9999="EMISSIONS")*(Cube!$B$2:$B$9999="ocb_taux")*(Cube!$C$2:$C$9999="FIX_"&amp;D$10)*(Cube!$E$2:$E$9999)))/1000000</f>
        <v>64005.5</v>
      </c>
      <c r="E24" s="105">
        <v>58622.2</v>
      </c>
      <c r="F24" s="105">
        <v>54919.199999999997</v>
      </c>
      <c r="G24" s="105">
        <v>44473.5</v>
      </c>
    </row>
    <row r="25" spans="1:7" x14ac:dyDescent="0.25">
      <c r="A25" s="33"/>
      <c r="B25" s="408" t="s">
        <v>509</v>
      </c>
      <c r="C25" s="424"/>
      <c r="D25" s="192" cm="1">
        <f t="array" ref="D25">(SUMPRODUCT((Cube!$A$2:$A$9999="EMISSIONS")*(Cube!$B$2:$B$9999="ocb_taux")*(Cube!$C$2:$C$9999="VAR_"&amp;D$10)*(Cube!$E$2:$E$9999)))/1000000</f>
        <v>40</v>
      </c>
      <c r="E25" s="192">
        <v>40</v>
      </c>
      <c r="F25" s="192">
        <v>40</v>
      </c>
      <c r="G25" s="192">
        <v>60</v>
      </c>
    </row>
    <row r="26" spans="1:7" x14ac:dyDescent="0.25">
      <c r="A26" s="33"/>
      <c r="B26" s="410" t="s">
        <v>350</v>
      </c>
      <c r="C26" s="426"/>
      <c r="D26" s="106">
        <v>0</v>
      </c>
      <c r="E26" s="106">
        <v>0</v>
      </c>
      <c r="F26" s="106">
        <v>0</v>
      </c>
      <c r="G26" s="106">
        <v>0</v>
      </c>
    </row>
    <row r="27" spans="1:7" x14ac:dyDescent="0.25">
      <c r="A27" s="33"/>
      <c r="B27" s="432" t="s">
        <v>3506</v>
      </c>
      <c r="C27" s="427"/>
      <c r="D27" s="74">
        <f>SUM(D24:D26)</f>
        <v>64045.5</v>
      </c>
      <c r="E27" s="74">
        <f>SUM(E24:E26)</f>
        <v>58662.2</v>
      </c>
      <c r="F27" s="74">
        <f>SUM(F24:F26)</f>
        <v>54959.199999999997</v>
      </c>
      <c r="G27" s="74">
        <f>SUM(G24:G26)</f>
        <v>44533.5</v>
      </c>
    </row>
    <row r="28" spans="1:7" x14ac:dyDescent="0.25">
      <c r="A28" s="33"/>
    </row>
    <row r="29" spans="1:7" x14ac:dyDescent="0.25">
      <c r="A29" s="33"/>
    </row>
    <row r="30" spans="1:7" x14ac:dyDescent="0.25">
      <c r="A30" s="33" t="s">
        <v>3512</v>
      </c>
      <c r="B30" s="24" t="s">
        <v>2973</v>
      </c>
    </row>
    <row r="32" spans="1:7" x14ac:dyDescent="0.25">
      <c r="A32" s="33"/>
      <c r="D32" s="526">
        <f>YEAR(D11)</f>
        <v>2026</v>
      </c>
      <c r="E32" s="526">
        <f>YEAR(E11)</f>
        <v>2025</v>
      </c>
      <c r="F32" s="526">
        <f>YEAR(F11)</f>
        <v>2024</v>
      </c>
      <c r="G32" s="526">
        <f>YEAR(G11)</f>
        <v>2023</v>
      </c>
    </row>
    <row r="33" spans="1:7" x14ac:dyDescent="0.25">
      <c r="A33" s="33"/>
      <c r="B33" s="404" t="s">
        <v>3504</v>
      </c>
      <c r="C33" s="523"/>
      <c r="D33" s="105" cm="1">
        <f t="array" ref="D33">(SUMPRODUCT((Cube!$A$2:$A$9999="EMISSIONS")*(Cube!$B$2:$B$9999="issuance_placement")*(Cube!$C$2:$C$9999="1_"&amp;D$10)*(Cube!$E$2:$E$9999)))/1000000</f>
        <v>3000</v>
      </c>
      <c r="E33" s="105">
        <v>4600</v>
      </c>
      <c r="F33" s="105">
        <v>7550</v>
      </c>
      <c r="G33" s="105">
        <v>8100</v>
      </c>
    </row>
    <row r="34" spans="1:7" x14ac:dyDescent="0.25">
      <c r="A34" s="33"/>
      <c r="B34" s="410" t="s">
        <v>3505</v>
      </c>
      <c r="C34" s="524"/>
      <c r="D34" s="192" cm="1">
        <f t="array" ref="D34">(SUMPRODUCT((Cube!$A$2:$A$9999="EMISSIONS")*(Cube!$B$2:$B$9999="issuance_placement")*(Cube!$C$2:$C$9999="2_"&amp;D$10)*(Cube!$E$2:$E$9999)))/1000000</f>
        <v>2403.3000000000002</v>
      </c>
      <c r="E34" s="106">
        <v>2943</v>
      </c>
      <c r="F34" s="106">
        <v>5700.7</v>
      </c>
      <c r="G34" s="106">
        <v>65</v>
      </c>
    </row>
    <row r="35" spans="1:7" x14ac:dyDescent="0.25">
      <c r="A35" s="33"/>
      <c r="B35" s="390" t="s">
        <v>3506</v>
      </c>
      <c r="C35" s="414"/>
      <c r="D35" s="74">
        <f>SUM(D33:D34)</f>
        <v>5403.3</v>
      </c>
      <c r="E35" s="74">
        <v>7543</v>
      </c>
      <c r="F35" s="74">
        <v>13250.7</v>
      </c>
      <c r="G35" s="74">
        <v>8165</v>
      </c>
    </row>
    <row r="36" spans="1:7" x14ac:dyDescent="0.25">
      <c r="A36" s="33"/>
      <c r="E36" s="600"/>
      <c r="F36" s="600"/>
    </row>
    <row r="37" spans="1:7" x14ac:dyDescent="0.25">
      <c r="A37" s="33"/>
      <c r="B37" s="404" t="s">
        <v>3507</v>
      </c>
      <c r="C37" s="433"/>
      <c r="D37" s="105">
        <f>D35</f>
        <v>5403.3</v>
      </c>
      <c r="E37" s="601">
        <f>E35</f>
        <v>7543</v>
      </c>
      <c r="F37" s="601">
        <f>F35</f>
        <v>13250.7</v>
      </c>
      <c r="G37" s="105">
        <f>G35</f>
        <v>8165</v>
      </c>
    </row>
    <row r="38" spans="1:7" x14ac:dyDescent="0.25">
      <c r="A38" s="33"/>
      <c r="B38" s="408" t="s">
        <v>3508</v>
      </c>
      <c r="C38" s="434"/>
      <c r="D38" s="107">
        <v>0</v>
      </c>
      <c r="E38" s="602">
        <v>0</v>
      </c>
      <c r="F38" s="602">
        <v>0</v>
      </c>
      <c r="G38" s="107">
        <v>0</v>
      </c>
    </row>
    <row r="39" spans="1:7" x14ac:dyDescent="0.25">
      <c r="A39" s="33"/>
      <c r="B39" s="408" t="s">
        <v>3509</v>
      </c>
      <c r="C39" s="434"/>
      <c r="D39" s="107">
        <v>0</v>
      </c>
      <c r="E39" s="602">
        <v>0</v>
      </c>
      <c r="F39" s="602">
        <v>0</v>
      </c>
      <c r="G39" s="107">
        <v>0</v>
      </c>
    </row>
    <row r="40" spans="1:7" x14ac:dyDescent="0.25">
      <c r="A40" s="33"/>
      <c r="B40" s="408" t="s">
        <v>3510</v>
      </c>
      <c r="C40" s="434"/>
      <c r="D40" s="107">
        <v>0</v>
      </c>
      <c r="E40" s="602">
        <v>0</v>
      </c>
      <c r="F40" s="602">
        <v>0</v>
      </c>
      <c r="G40" s="107">
        <v>0</v>
      </c>
    </row>
    <row r="41" spans="1:7" x14ac:dyDescent="0.25">
      <c r="A41" s="33"/>
      <c r="B41" s="408" t="s">
        <v>3511</v>
      </c>
      <c r="C41" s="434"/>
      <c r="D41" s="107">
        <v>0</v>
      </c>
      <c r="E41" s="602">
        <v>0</v>
      </c>
      <c r="F41" s="602">
        <v>0</v>
      </c>
      <c r="G41" s="107">
        <v>0</v>
      </c>
    </row>
    <row r="42" spans="1:7" x14ac:dyDescent="0.25">
      <c r="A42" s="33"/>
      <c r="B42" s="410" t="s">
        <v>350</v>
      </c>
      <c r="C42" s="435"/>
      <c r="D42" s="106">
        <v>0</v>
      </c>
      <c r="E42" s="603">
        <v>0</v>
      </c>
      <c r="F42" s="603">
        <v>0</v>
      </c>
      <c r="G42" s="106">
        <v>0</v>
      </c>
    </row>
    <row r="43" spans="1:7" x14ac:dyDescent="0.25">
      <c r="A43" s="33"/>
      <c r="B43" s="390" t="s">
        <v>3506</v>
      </c>
      <c r="C43" s="414"/>
      <c r="D43" s="74">
        <f>SUM(D37:D42)</f>
        <v>5403.3</v>
      </c>
      <c r="E43" s="604">
        <f>SUM(E37:E42)</f>
        <v>7543</v>
      </c>
      <c r="F43" s="604">
        <f>SUM(F37:F42)</f>
        <v>13250.7</v>
      </c>
      <c r="G43" s="74">
        <f>SUM(G37:G42)</f>
        <v>8165</v>
      </c>
    </row>
    <row r="44" spans="1:7" x14ac:dyDescent="0.25">
      <c r="A44" s="33"/>
      <c r="E44" s="600"/>
      <c r="F44" s="600"/>
    </row>
    <row r="45" spans="1:7" x14ac:dyDescent="0.25">
      <c r="A45" s="33"/>
      <c r="B45" s="404" t="s">
        <v>507</v>
      </c>
      <c r="C45" s="421"/>
      <c r="D45" s="105" cm="1">
        <f t="array" ref="D45">(SUMPRODUCT((Cube!$A$2:$A$9999="EMISSIONS")*(Cube!$B$2:$B$9999="issuance_taux")*(Cube!$C$2:$C$9999="FIX_"&amp;D$10)*(Cube!$E$2:$E$9999)))/1000000</f>
        <v>5403.3</v>
      </c>
      <c r="E45" s="601" cm="1">
        <f t="array" ref="E45">(SUMPRODUCT((Cube!$A$2:$A$9999="EMISSIONS")*(Cube!$B$2:$B$9999="issuance_taux")*(Cube!$C$2:$C$9999="FIX_"&amp;E$10)*(Cube!$E$2:$E$9999)))/1000000</f>
        <v>7543</v>
      </c>
      <c r="F45" s="601" cm="1">
        <f t="array" ref="F45">(SUMPRODUCT((Cube!$A$2:$A$9999="EMISSIONS")*(Cube!$B$2:$B$9999="issuance_taux")*(Cube!$C$2:$C$9999="FIX_"&amp;F$10)*(Cube!$E$2:$E$9999)))/1000000</f>
        <v>13250.7</v>
      </c>
      <c r="G45" s="105" cm="1">
        <f t="array" ref="G45">(SUMPRODUCT((Cube!$A$2:$A$9999="EMISSIONS")*(Cube!$B$2:$B$9999="issuance_taux")*(Cube!$C$2:$C$9999="FIX_"&amp;G$10)*(Cube!$E$2:$E$9999)))/1000000</f>
        <v>8125</v>
      </c>
    </row>
    <row r="46" spans="1:7" x14ac:dyDescent="0.25">
      <c r="A46" s="33"/>
      <c r="B46" s="408" t="s">
        <v>509</v>
      </c>
      <c r="C46" s="424"/>
      <c r="D46" s="192" cm="1">
        <f t="array" ref="D46">(SUMPRODUCT((Cube!$A$2:$A$9999="EMISSIONS")*(Cube!$B$2:$B$9999="issuance_taux")*(Cube!$C$2:$C$9999="VAR_"&amp;D$10)*(Cube!$E$2:$E$9999)))/1000000</f>
        <v>0</v>
      </c>
      <c r="E46" s="605" cm="1">
        <f t="array" ref="E46">(SUMPRODUCT((Cube!$A$2:$A$9999="EMISSIONS")*(Cube!$B$2:$B$9999="issuance_taux")*(Cube!$C$2:$C$9999="VAR_"&amp;E$10)*(Cube!$E$2:$E$9999)))/1000000</f>
        <v>0</v>
      </c>
      <c r="F46" s="605" cm="1">
        <f t="array" ref="F46">(SUMPRODUCT((Cube!$A$2:$A$9999="EMISSIONS")*(Cube!$B$2:$B$9999="issuance_taux")*(Cube!$C$2:$C$9999="VAR_"&amp;F$10)*(Cube!$E$2:$E$9999)))/1000000</f>
        <v>0</v>
      </c>
      <c r="G46" s="192" cm="1">
        <f t="array" ref="G46">(SUMPRODUCT((Cube!$A$2:$A$9999="EMISSIONS")*(Cube!$B$2:$B$9999="issuance_taux")*(Cube!$C$2:$C$9999="VAR_"&amp;G$10)*(Cube!$E$2:$E$9999)))/1000000</f>
        <v>40</v>
      </c>
    </row>
    <row r="47" spans="1:7" x14ac:dyDescent="0.25">
      <c r="A47" s="33"/>
      <c r="B47" s="410" t="s">
        <v>350</v>
      </c>
      <c r="C47" s="426"/>
      <c r="D47" s="106">
        <v>0</v>
      </c>
      <c r="E47" s="603">
        <v>0</v>
      </c>
      <c r="F47" s="603">
        <v>0</v>
      </c>
      <c r="G47" s="106">
        <v>0</v>
      </c>
    </row>
    <row r="48" spans="1:7" x14ac:dyDescent="0.25">
      <c r="A48" s="33"/>
      <c r="B48" s="390" t="s">
        <v>3506</v>
      </c>
      <c r="C48" s="391"/>
      <c r="D48" s="74">
        <f>SUM(D45:D47)</f>
        <v>5403.3</v>
      </c>
      <c r="E48" s="604">
        <f>SUM(E45:E47)</f>
        <v>7543</v>
      </c>
      <c r="F48" s="604">
        <f>SUM(F45:F47)</f>
        <v>13250.7</v>
      </c>
      <c r="G48" s="74">
        <f>SUM(G45:G47)</f>
        <v>8165</v>
      </c>
    </row>
    <row r="49" spans="1:1" x14ac:dyDescent="0.25">
      <c r="A49" s="33"/>
    </row>
    <row r="50" spans="1:1" x14ac:dyDescent="0.25">
      <c r="A50" s="33"/>
    </row>
    <row r="51" spans="1:1" x14ac:dyDescent="0.25">
      <c r="A51" s="33"/>
    </row>
    <row r="52" spans="1:1" x14ac:dyDescent="0.25">
      <c r="A52" s="33"/>
    </row>
    <row r="53" spans="1:1" x14ac:dyDescent="0.25">
      <c r="A53" s="33"/>
    </row>
    <row r="54" spans="1:1" x14ac:dyDescent="0.25">
      <c r="A54" s="33"/>
    </row>
    <row r="55" spans="1:1" x14ac:dyDescent="0.25">
      <c r="A55" s="33"/>
    </row>
    <row r="56" spans="1:1" x14ac:dyDescent="0.25">
      <c r="A56" s="33"/>
    </row>
    <row r="57" spans="1:1" x14ac:dyDescent="0.25">
      <c r="A57" s="33"/>
    </row>
    <row r="58" spans="1:1" x14ac:dyDescent="0.25">
      <c r="A58" s="33"/>
    </row>
    <row r="59" spans="1:1" x14ac:dyDescent="0.25">
      <c r="A59" s="33"/>
    </row>
    <row r="60" spans="1:1" x14ac:dyDescent="0.25">
      <c r="A60" s="33"/>
    </row>
    <row r="61" spans="1:1" x14ac:dyDescent="0.25">
      <c r="A61" s="33"/>
    </row>
    <row r="62" spans="1:1" x14ac:dyDescent="0.25">
      <c r="A62" s="33"/>
    </row>
    <row r="63" spans="1:1" x14ac:dyDescent="0.25">
      <c r="A63" s="33"/>
    </row>
    <row r="64" spans="1:1" x14ac:dyDescent="0.25">
      <c r="A64" s="33"/>
    </row>
    <row r="65" spans="1:1" x14ac:dyDescent="0.25">
      <c r="A65" s="33"/>
    </row>
    <row r="66" spans="1:1" x14ac:dyDescent="0.25">
      <c r="A66" s="33"/>
    </row>
    <row r="67" spans="1:1" x14ac:dyDescent="0.25">
      <c r="A67" s="33"/>
    </row>
    <row r="68" spans="1:1" x14ac:dyDescent="0.25">
      <c r="A68" s="33"/>
    </row>
    <row r="69" spans="1:1" x14ac:dyDescent="0.25">
      <c r="A69" s="33"/>
    </row>
  </sheetData>
  <pageMargins left="0.23622047244094491" right="7.874015748031496E-2" top="0.94488188976377963" bottom="0.47244094488188981" header="0.51181102362204722" footer="0.51181102362204722"/>
  <pageSetup paperSize="9" scale="69" firstPageNumber="11" orientation="portrait" useFirstPageNumber="1" r:id="rId1"/>
  <headerFooter alignWithMargins="0">
    <oddFooter>&amp;L&amp;G&amp;CPage &amp;P de 13&amp;R&amp;D</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7233-2AB8-476E-8156-E6D070031900}">
  <sheetPr>
    <tabColor rgb="FF243386"/>
  </sheetPr>
  <dimension ref="A1:I126"/>
  <sheetViews>
    <sheetView topLeftCell="A66" zoomScale="80" zoomScaleNormal="80" workbookViewId="0">
      <selection activeCell="M85" sqref="M85"/>
    </sheetView>
  </sheetViews>
  <sheetFormatPr baseColWidth="10" defaultColWidth="11.44140625" defaultRowHeight="13.2" x14ac:dyDescent="0.25"/>
  <cols>
    <col min="1" max="1" width="7.44140625" style="33" customWidth="1"/>
    <col min="2" max="2" width="11.44140625" style="29" customWidth="1"/>
    <col min="3" max="16384" width="11.44140625" style="29"/>
  </cols>
  <sheetData>
    <row r="1" spans="1:9" s="34" customFormat="1" ht="20.25" customHeight="1" x14ac:dyDescent="0.3">
      <c r="A1" s="385"/>
      <c r="B1" s="386" t="s">
        <v>3203</v>
      </c>
      <c r="C1" s="387"/>
      <c r="D1" s="387"/>
      <c r="E1" s="387"/>
      <c r="F1" s="387"/>
      <c r="G1" s="387"/>
      <c r="H1" s="387"/>
      <c r="I1" s="387"/>
    </row>
    <row r="2" spans="1:9" x14ac:dyDescent="0.25">
      <c r="A2" s="527"/>
      <c r="B2" s="35"/>
    </row>
    <row r="3" spans="1:9" x14ac:dyDescent="0.25">
      <c r="A3" s="36" t="s">
        <v>3513</v>
      </c>
      <c r="B3" s="35"/>
    </row>
    <row r="4" spans="1:9" x14ac:dyDescent="0.25">
      <c r="B4" s="29" t="s">
        <v>3514</v>
      </c>
    </row>
    <row r="5" spans="1:9" x14ac:dyDescent="0.25">
      <c r="B5" s="29" t="s">
        <v>3515</v>
      </c>
    </row>
    <row r="6" spans="1:9" x14ac:dyDescent="0.25">
      <c r="B6" s="29" t="s">
        <v>3516</v>
      </c>
    </row>
    <row r="8" spans="1:9" s="34" customFormat="1" ht="20.25" customHeight="1" x14ac:dyDescent="0.3">
      <c r="A8" s="385"/>
      <c r="B8" s="386" t="s">
        <v>3517</v>
      </c>
      <c r="C8" s="387"/>
      <c r="D8" s="387"/>
      <c r="E8" s="387"/>
      <c r="F8" s="387"/>
      <c r="G8" s="387"/>
      <c r="H8" s="387"/>
      <c r="I8" s="387"/>
    </row>
    <row r="10" spans="1:9" x14ac:dyDescent="0.25">
      <c r="A10" s="33" t="s">
        <v>3214</v>
      </c>
      <c r="B10" s="29" t="s">
        <v>3518</v>
      </c>
    </row>
    <row r="12" spans="1:9" x14ac:dyDescent="0.25">
      <c r="A12" s="33" t="s">
        <v>3222</v>
      </c>
      <c r="B12" s="22" t="s">
        <v>3519</v>
      </c>
    </row>
    <row r="13" spans="1:9" x14ac:dyDescent="0.25">
      <c r="B13" s="29" t="s">
        <v>3520</v>
      </c>
    </row>
    <row r="14" spans="1:9" x14ac:dyDescent="0.25">
      <c r="B14" s="29" t="s">
        <v>3521</v>
      </c>
    </row>
    <row r="15" spans="1:9" x14ac:dyDescent="0.25">
      <c r="B15" s="29" t="s">
        <v>3522</v>
      </c>
    </row>
    <row r="16" spans="1:9" x14ac:dyDescent="0.25">
      <c r="B16" s="29" t="s">
        <v>3523</v>
      </c>
    </row>
    <row r="17" spans="1:2" x14ac:dyDescent="0.25">
      <c r="B17" s="29" t="s">
        <v>3524</v>
      </c>
    </row>
    <row r="18" spans="1:2" x14ac:dyDescent="0.25">
      <c r="B18" s="29" t="s">
        <v>3525</v>
      </c>
    </row>
    <row r="19" spans="1:2" x14ac:dyDescent="0.25">
      <c r="B19" s="29" t="s">
        <v>3526</v>
      </c>
    </row>
    <row r="21" spans="1:2" x14ac:dyDescent="0.25">
      <c r="A21" s="33" t="s">
        <v>3230</v>
      </c>
      <c r="B21" s="22" t="s">
        <v>3231</v>
      </c>
    </row>
    <row r="22" spans="1:2" x14ac:dyDescent="0.25">
      <c r="B22" s="108" t="s">
        <v>846</v>
      </c>
    </row>
    <row r="23" spans="1:2" x14ac:dyDescent="0.25">
      <c r="A23" s="33" t="s">
        <v>3240</v>
      </c>
      <c r="B23" s="22" t="s">
        <v>3241</v>
      </c>
    </row>
    <row r="25" spans="1:2" x14ac:dyDescent="0.25">
      <c r="B25" s="32" t="s">
        <v>3527</v>
      </c>
    </row>
    <row r="26" spans="1:2" x14ac:dyDescent="0.25">
      <c r="B26" s="29" t="s">
        <v>3528</v>
      </c>
    </row>
    <row r="27" spans="1:2" x14ac:dyDescent="0.25">
      <c r="B27" s="29" t="s">
        <v>3529</v>
      </c>
    </row>
    <row r="28" spans="1:2" x14ac:dyDescent="0.25">
      <c r="B28" s="29" t="s">
        <v>3530</v>
      </c>
    </row>
    <row r="30" spans="1:2" x14ac:dyDescent="0.25">
      <c r="B30" s="32" t="s">
        <v>3531</v>
      </c>
    </row>
    <row r="31" spans="1:2" x14ac:dyDescent="0.25">
      <c r="B31" s="29" t="s">
        <v>3532</v>
      </c>
    </row>
    <row r="32" spans="1:2" x14ac:dyDescent="0.25">
      <c r="B32" s="29" t="s">
        <v>3533</v>
      </c>
    </row>
    <row r="33" spans="1:2" x14ac:dyDescent="0.25">
      <c r="B33" s="29" t="s">
        <v>3534</v>
      </c>
    </row>
    <row r="35" spans="1:2" x14ac:dyDescent="0.25">
      <c r="B35" s="32" t="s">
        <v>3535</v>
      </c>
    </row>
    <row r="36" spans="1:2" x14ac:dyDescent="0.25">
      <c r="B36" s="29" t="s">
        <v>3536</v>
      </c>
    </row>
    <row r="37" spans="1:2" x14ac:dyDescent="0.25">
      <c r="B37" s="29" t="s">
        <v>3537</v>
      </c>
    </row>
    <row r="38" spans="1:2" x14ac:dyDescent="0.25">
      <c r="B38" s="29" t="s">
        <v>3538</v>
      </c>
    </row>
    <row r="39" spans="1:2" x14ac:dyDescent="0.25">
      <c r="B39" s="29" t="s">
        <v>3539</v>
      </c>
    </row>
    <row r="40" spans="1:2" x14ac:dyDescent="0.25">
      <c r="B40" s="29" t="s">
        <v>3540</v>
      </c>
    </row>
    <row r="41" spans="1:2" x14ac:dyDescent="0.25">
      <c r="B41" s="29" t="s">
        <v>3541</v>
      </c>
    </row>
    <row r="42" spans="1:2" x14ac:dyDescent="0.25">
      <c r="B42" s="29" t="s">
        <v>3542</v>
      </c>
    </row>
    <row r="44" spans="1:2" x14ac:dyDescent="0.25">
      <c r="A44" s="33" t="s">
        <v>3251</v>
      </c>
      <c r="B44" s="22" t="s">
        <v>3252</v>
      </c>
    </row>
    <row r="46" spans="1:2" x14ac:dyDescent="0.25">
      <c r="B46" s="29" t="s">
        <v>3543</v>
      </c>
    </row>
    <row r="47" spans="1:2" x14ac:dyDescent="0.25">
      <c r="B47" s="108" t="s">
        <v>3544</v>
      </c>
    </row>
    <row r="48" spans="1:2" x14ac:dyDescent="0.25">
      <c r="B48" s="108" t="s">
        <v>3545</v>
      </c>
    </row>
    <row r="49" spans="1:2" x14ac:dyDescent="0.25">
      <c r="B49" s="108" t="s">
        <v>3546</v>
      </c>
    </row>
    <row r="51" spans="1:2" x14ac:dyDescent="0.25">
      <c r="B51" s="29" t="s">
        <v>3547</v>
      </c>
    </row>
    <row r="52" spans="1:2" x14ac:dyDescent="0.25">
      <c r="B52" s="29" t="s">
        <v>3548</v>
      </c>
    </row>
    <row r="53" spans="1:2" x14ac:dyDescent="0.25">
      <c r="B53" s="29" t="s">
        <v>3549</v>
      </c>
    </row>
    <row r="54" spans="1:2" x14ac:dyDescent="0.25">
      <c r="B54" s="29" t="s">
        <v>3550</v>
      </c>
    </row>
    <row r="56" spans="1:2" x14ac:dyDescent="0.25">
      <c r="B56" s="29" t="s">
        <v>3551</v>
      </c>
    </row>
    <row r="57" spans="1:2" x14ac:dyDescent="0.25">
      <c r="B57" s="29" t="s">
        <v>3552</v>
      </c>
    </row>
    <row r="59" spans="1:2" x14ac:dyDescent="0.25">
      <c r="A59" s="33">
        <v>3</v>
      </c>
      <c r="B59" s="22" t="s">
        <v>3553</v>
      </c>
    </row>
    <row r="61" spans="1:2" x14ac:dyDescent="0.25">
      <c r="B61" s="32" t="s">
        <v>3554</v>
      </c>
    </row>
    <row r="62" spans="1:2" x14ac:dyDescent="0.25">
      <c r="B62" s="29" t="s">
        <v>3555</v>
      </c>
    </row>
    <row r="63" spans="1:2" x14ac:dyDescent="0.25">
      <c r="B63" s="29" t="s">
        <v>3556</v>
      </c>
    </row>
    <row r="64" spans="1:2" x14ac:dyDescent="0.25">
      <c r="B64" s="29" t="s">
        <v>3557</v>
      </c>
    </row>
    <row r="65" spans="1:2" x14ac:dyDescent="0.25">
      <c r="B65" s="29" t="s">
        <v>3558</v>
      </c>
    </row>
    <row r="67" spans="1:2" x14ac:dyDescent="0.25">
      <c r="B67" s="32" t="s">
        <v>3559</v>
      </c>
    </row>
    <row r="68" spans="1:2" x14ac:dyDescent="0.25">
      <c r="B68" s="29" t="s">
        <v>3560</v>
      </c>
    </row>
    <row r="69" spans="1:2" x14ac:dyDescent="0.25">
      <c r="B69" s="29" t="s">
        <v>3561</v>
      </c>
    </row>
    <row r="70" spans="1:2" x14ac:dyDescent="0.25">
      <c r="B70" s="29" t="s">
        <v>3562</v>
      </c>
    </row>
    <row r="71" spans="1:2" x14ac:dyDescent="0.25">
      <c r="B71" s="29" t="s">
        <v>3563</v>
      </c>
    </row>
    <row r="73" spans="1:2" x14ac:dyDescent="0.25">
      <c r="A73" s="33" t="s">
        <v>3315</v>
      </c>
      <c r="B73" s="22" t="s">
        <v>3316</v>
      </c>
    </row>
    <row r="75" spans="1:2" x14ac:dyDescent="0.25">
      <c r="B75" s="32" t="s">
        <v>3265</v>
      </c>
    </row>
    <row r="76" spans="1:2" x14ac:dyDescent="0.25">
      <c r="B76" s="29" t="s">
        <v>3564</v>
      </c>
    </row>
    <row r="78" spans="1:2" x14ac:dyDescent="0.25">
      <c r="B78" s="32" t="s">
        <v>3324</v>
      </c>
    </row>
    <row r="79" spans="1:2" x14ac:dyDescent="0.25">
      <c r="B79" s="29" t="s">
        <v>3565</v>
      </c>
    </row>
    <row r="81" spans="1:9" x14ac:dyDescent="0.25">
      <c r="A81" s="33" t="s">
        <v>3327</v>
      </c>
      <c r="B81" s="22" t="s">
        <v>3328</v>
      </c>
    </row>
    <row r="82" spans="1:9" x14ac:dyDescent="0.25">
      <c r="B82" s="29" t="s">
        <v>3566</v>
      </c>
    </row>
    <row r="85" spans="1:9" s="34" customFormat="1" ht="20.25" customHeight="1" x14ac:dyDescent="0.3">
      <c r="A85" s="385"/>
      <c r="B85" s="386" t="s">
        <v>3567</v>
      </c>
      <c r="C85" s="387"/>
      <c r="D85" s="387"/>
      <c r="E85" s="387"/>
      <c r="F85" s="387"/>
      <c r="G85" s="387"/>
      <c r="H85" s="387"/>
      <c r="I85" s="387"/>
    </row>
    <row r="87" spans="1:9" x14ac:dyDescent="0.25">
      <c r="A87" s="33">
        <v>4</v>
      </c>
      <c r="B87" s="29" t="s">
        <v>3568</v>
      </c>
    </row>
    <row r="89" spans="1:9" x14ac:dyDescent="0.25">
      <c r="B89" s="29" t="s">
        <v>3569</v>
      </c>
    </row>
    <row r="90" spans="1:9" x14ac:dyDescent="0.25">
      <c r="B90" s="29" t="s">
        <v>3570</v>
      </c>
    </row>
    <row r="92" spans="1:9" x14ac:dyDescent="0.25">
      <c r="A92" s="33" t="s">
        <v>3571</v>
      </c>
      <c r="B92" s="22" t="s">
        <v>3572</v>
      </c>
    </row>
    <row r="93" spans="1:9" x14ac:dyDescent="0.25">
      <c r="B93" s="29" t="s">
        <v>3573</v>
      </c>
    </row>
    <row r="94" spans="1:9" x14ac:dyDescent="0.25">
      <c r="B94" s="29" t="s">
        <v>3574</v>
      </c>
    </row>
    <row r="95" spans="1:9" x14ac:dyDescent="0.25">
      <c r="B95" s="29" t="s">
        <v>3575</v>
      </c>
    </row>
    <row r="97" spans="1:2" x14ac:dyDescent="0.25">
      <c r="A97" s="33" t="s">
        <v>3352</v>
      </c>
      <c r="B97" s="22" t="s">
        <v>3576</v>
      </c>
    </row>
    <row r="98" spans="1:2" x14ac:dyDescent="0.25">
      <c r="B98" s="29" t="s">
        <v>3577</v>
      </c>
    </row>
    <row r="99" spans="1:2" x14ac:dyDescent="0.25">
      <c r="B99" s="29" t="s">
        <v>3578</v>
      </c>
    </row>
    <row r="101" spans="1:2" x14ac:dyDescent="0.25">
      <c r="A101" s="33" t="s">
        <v>3370</v>
      </c>
      <c r="B101" s="22" t="s">
        <v>3579</v>
      </c>
    </row>
    <row r="102" spans="1:2" x14ac:dyDescent="0.25">
      <c r="B102" s="29" t="s">
        <v>3580</v>
      </c>
    </row>
    <row r="103" spans="1:2" x14ac:dyDescent="0.25">
      <c r="B103" s="29" t="s">
        <v>3581</v>
      </c>
    </row>
    <row r="104" spans="1:2" x14ac:dyDescent="0.25">
      <c r="B104" s="29" t="s">
        <v>3582</v>
      </c>
    </row>
    <row r="106" spans="1:2" x14ac:dyDescent="0.25">
      <c r="A106" s="33" t="s">
        <v>3373</v>
      </c>
      <c r="B106" s="22" t="s">
        <v>3583</v>
      </c>
    </row>
    <row r="107" spans="1:2" x14ac:dyDescent="0.25">
      <c r="B107" s="29" t="s">
        <v>3584</v>
      </c>
    </row>
    <row r="109" spans="1:2" x14ac:dyDescent="0.25">
      <c r="A109" s="33" t="s">
        <v>3398</v>
      </c>
      <c r="B109" s="22" t="s">
        <v>3585</v>
      </c>
    </row>
    <row r="110" spans="1:2" x14ac:dyDescent="0.25">
      <c r="B110" s="22"/>
    </row>
    <row r="111" spans="1:2" ht="15" customHeight="1" x14ac:dyDescent="0.3">
      <c r="B111" s="32" t="s">
        <v>3586</v>
      </c>
    </row>
    <row r="112" spans="1:2" x14ac:dyDescent="0.25">
      <c r="B112" s="29" t="s">
        <v>3587</v>
      </c>
    </row>
    <row r="114" spans="1:9" x14ac:dyDescent="0.25">
      <c r="B114" s="32" t="s">
        <v>3588</v>
      </c>
    </row>
    <row r="115" spans="1:9" x14ac:dyDescent="0.25">
      <c r="B115" s="29" t="s">
        <v>3589</v>
      </c>
    </row>
    <row r="118" spans="1:9" s="34" customFormat="1" ht="20.25" customHeight="1" x14ac:dyDescent="0.3">
      <c r="A118" s="385"/>
      <c r="B118" s="386" t="s">
        <v>3590</v>
      </c>
      <c r="C118" s="387"/>
      <c r="D118" s="387"/>
      <c r="E118" s="387"/>
      <c r="F118" s="387"/>
      <c r="G118" s="387"/>
      <c r="H118" s="387"/>
      <c r="I118" s="387"/>
    </row>
    <row r="120" spans="1:9" x14ac:dyDescent="0.25">
      <c r="A120" s="33">
        <v>5</v>
      </c>
      <c r="B120" s="29" t="s">
        <v>3591</v>
      </c>
    </row>
    <row r="122" spans="1:9" ht="20.25" customHeight="1" x14ac:dyDescent="0.25">
      <c r="A122" s="385"/>
      <c r="B122" s="386" t="s">
        <v>3592</v>
      </c>
      <c r="C122" s="387"/>
      <c r="D122" s="387"/>
      <c r="E122" s="387"/>
      <c r="F122" s="387"/>
      <c r="G122" s="387"/>
      <c r="H122" s="387"/>
      <c r="I122" s="387"/>
    </row>
    <row r="124" spans="1:9" x14ac:dyDescent="0.25">
      <c r="A124" s="33" t="s">
        <v>3502</v>
      </c>
      <c r="B124" s="29" t="s">
        <v>3593</v>
      </c>
    </row>
    <row r="126" spans="1:9" x14ac:dyDescent="0.25">
      <c r="A126" s="33" t="s">
        <v>3512</v>
      </c>
      <c r="B126" s="29" t="s">
        <v>3593</v>
      </c>
    </row>
  </sheetData>
  <pageMargins left="0.23622047244094491" right="7.874015748031496E-2" top="0.94488188976377963" bottom="0.47244094488188981" header="0.51181102362204722" footer="0.51181102362204722"/>
  <pageSetup paperSize="9" scale="69" firstPageNumber="12" orientation="portrait" useFirstPageNumber="1" r:id="rId1"/>
  <headerFooter alignWithMargins="0">
    <oddFooter>&amp;L&amp;G&amp;CPage &amp;P de 13&amp;R&amp;D</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2F67-3EED-4414-A371-84F313346FDD}">
  <sheetPr>
    <tabColor rgb="FF243386"/>
  </sheetPr>
  <dimension ref="A1:N112"/>
  <sheetViews>
    <sheetView topLeftCell="A22" zoomScale="70" zoomScaleNormal="70" workbookViewId="0">
      <selection activeCell="D21" sqref="D21"/>
    </sheetView>
  </sheetViews>
  <sheetFormatPr baseColWidth="10" defaultColWidth="8.6640625" defaultRowHeight="14.4" outlineLevelRow="1" x14ac:dyDescent="0.3"/>
  <cols>
    <col min="1" max="1" width="13.33203125" style="229" customWidth="1"/>
    <col min="2" max="2" width="60.5546875" style="229" bestFit="1" customWidth="1"/>
    <col min="3" max="7" width="41" style="229" customWidth="1"/>
    <col min="8" max="8" width="7.33203125" style="229" customWidth="1"/>
    <col min="9" max="9" width="92" style="229" customWidth="1"/>
    <col min="10" max="11" width="47.6640625" style="229" customWidth="1"/>
    <col min="12" max="12" width="7.33203125" style="229" customWidth="1"/>
    <col min="13" max="13" width="25.6640625" style="229" customWidth="1"/>
    <col min="14" max="14" width="25.6640625" style="170" customWidth="1"/>
    <col min="15" max="15" width="8.6640625" style="361" customWidth="1"/>
    <col min="16" max="16384" width="8.6640625" style="361"/>
  </cols>
  <sheetData>
    <row r="1" spans="1:13" ht="45" customHeight="1" x14ac:dyDescent="0.3">
      <c r="A1" s="638" t="s">
        <v>3594</v>
      </c>
      <c r="B1" s="638"/>
    </row>
    <row r="2" spans="1:13" ht="31.5" customHeight="1" x14ac:dyDescent="0.3">
      <c r="A2" s="171" t="s">
        <v>3595</v>
      </c>
      <c r="B2" s="171"/>
      <c r="C2" s="170"/>
      <c r="D2" s="170"/>
      <c r="E2" s="170"/>
      <c r="F2" s="172" t="str">
        <f>'A. HTT General'!F1</f>
        <v>HTT 2026</v>
      </c>
      <c r="G2" s="173"/>
      <c r="H2" s="170"/>
      <c r="I2" s="171"/>
      <c r="J2" s="170"/>
      <c r="K2" s="170"/>
      <c r="L2" s="170"/>
      <c r="M2" s="170"/>
    </row>
    <row r="3" spans="1:13" ht="15.75" customHeight="1" x14ac:dyDescent="0.3">
      <c r="A3" s="170"/>
      <c r="B3" s="12"/>
      <c r="C3" s="12"/>
      <c r="D3" s="170"/>
      <c r="E3" s="170"/>
      <c r="F3" s="170"/>
      <c r="G3" s="170"/>
      <c r="H3" s="170"/>
      <c r="L3" s="170"/>
      <c r="M3" s="170"/>
    </row>
    <row r="4" spans="1:13" ht="19.5" customHeight="1" x14ac:dyDescent="0.3">
      <c r="A4" s="270"/>
      <c r="B4" s="340" t="s">
        <v>260</v>
      </c>
      <c r="C4" s="528" t="s">
        <v>261</v>
      </c>
      <c r="D4" s="270"/>
      <c r="E4" s="270"/>
      <c r="F4" s="170"/>
      <c r="G4" s="170"/>
      <c r="H4" s="170"/>
      <c r="L4" s="170"/>
      <c r="M4" s="170"/>
    </row>
    <row r="5" spans="1:13" ht="15.75" customHeight="1" x14ac:dyDescent="0.3">
      <c r="H5" s="170"/>
      <c r="L5" s="170"/>
      <c r="M5" s="170"/>
    </row>
    <row r="6" spans="1:13" ht="18.75" customHeight="1" x14ac:dyDescent="0.3">
      <c r="A6" s="342"/>
      <c r="B6" s="341" t="s">
        <v>3596</v>
      </c>
      <c r="C6" s="342"/>
      <c r="E6" s="343"/>
      <c r="F6" s="343"/>
      <c r="G6" s="343"/>
      <c r="H6" s="170"/>
      <c r="L6" s="170"/>
      <c r="M6" s="170"/>
    </row>
    <row r="7" spans="1:13" x14ac:dyDescent="0.3">
      <c r="B7" s="10" t="s">
        <v>3597</v>
      </c>
      <c r="H7" s="170"/>
      <c r="L7" s="170"/>
      <c r="M7" s="170"/>
    </row>
    <row r="8" spans="1:13" x14ac:dyDescent="0.3">
      <c r="B8" s="10" t="s">
        <v>3598</v>
      </c>
      <c r="H8" s="170"/>
      <c r="L8" s="170"/>
      <c r="M8" s="170"/>
    </row>
    <row r="9" spans="1:13" ht="15.75" customHeight="1" x14ac:dyDescent="0.3">
      <c r="B9" s="11" t="s">
        <v>3599</v>
      </c>
      <c r="H9" s="170"/>
      <c r="L9" s="170"/>
      <c r="M9" s="170"/>
    </row>
    <row r="10" spans="1:13" x14ac:dyDescent="0.3">
      <c r="B10" s="364"/>
      <c r="H10" s="170"/>
      <c r="I10" s="529"/>
      <c r="L10" s="170"/>
      <c r="M10" s="170"/>
    </row>
    <row r="11" spans="1:13" x14ac:dyDescent="0.3">
      <c r="B11" s="364"/>
      <c r="H11" s="170"/>
      <c r="I11" s="529"/>
      <c r="L11" s="170"/>
      <c r="M11" s="170"/>
    </row>
    <row r="12" spans="1:13" ht="37.5" customHeight="1" x14ac:dyDescent="0.3">
      <c r="A12" s="273" t="s">
        <v>269</v>
      </c>
      <c r="B12" s="273" t="s">
        <v>3600</v>
      </c>
      <c r="C12" s="345"/>
      <c r="D12" s="345"/>
      <c r="E12" s="345"/>
      <c r="F12" s="345"/>
      <c r="G12" s="345"/>
      <c r="H12" s="170"/>
      <c r="L12" s="170"/>
      <c r="M12" s="170"/>
    </row>
    <row r="13" spans="1:13" ht="15" customHeight="1" x14ac:dyDescent="0.3">
      <c r="A13" s="289"/>
      <c r="B13" s="347" t="s">
        <v>3601</v>
      </c>
      <c r="C13" s="289" t="s">
        <v>3427</v>
      </c>
      <c r="D13" s="289" t="s">
        <v>3602</v>
      </c>
      <c r="E13" s="353"/>
      <c r="F13" s="348"/>
      <c r="G13" s="348"/>
      <c r="H13" s="170"/>
      <c r="L13" s="170"/>
      <c r="M13" s="170"/>
    </row>
    <row r="14" spans="1:13" x14ac:dyDescent="0.3">
      <c r="A14" s="275" t="s">
        <v>3603</v>
      </c>
      <c r="B14" s="290" t="s">
        <v>3604</v>
      </c>
      <c r="C14" s="229" t="s">
        <v>3210</v>
      </c>
      <c r="D14" s="229" t="s">
        <v>3605</v>
      </c>
      <c r="E14" s="343"/>
      <c r="F14" s="343"/>
      <c r="G14" s="343"/>
      <c r="H14" s="170"/>
      <c r="L14" s="170"/>
      <c r="M14" s="170"/>
    </row>
    <row r="15" spans="1:13" x14ac:dyDescent="0.3">
      <c r="A15" s="275" t="s">
        <v>3606</v>
      </c>
      <c r="B15" s="290" t="s">
        <v>793</v>
      </c>
      <c r="C15" s="229" t="s">
        <v>3607</v>
      </c>
      <c r="D15" s="229" t="s">
        <v>1344</v>
      </c>
      <c r="E15" s="343"/>
      <c r="F15" s="343"/>
      <c r="G15" s="343"/>
      <c r="H15" s="170"/>
      <c r="L15" s="170"/>
      <c r="M15" s="170"/>
    </row>
    <row r="16" spans="1:13" x14ac:dyDescent="0.3">
      <c r="A16" s="275" t="s">
        <v>3608</v>
      </c>
      <c r="B16" s="290" t="s">
        <v>3609</v>
      </c>
      <c r="C16" s="229" t="s">
        <v>654</v>
      </c>
      <c r="D16" s="229" t="s">
        <v>654</v>
      </c>
      <c r="E16" s="343"/>
      <c r="F16" s="343"/>
      <c r="G16" s="343"/>
      <c r="H16" s="170"/>
      <c r="L16" s="170"/>
      <c r="M16" s="170"/>
    </row>
    <row r="17" spans="1:13" x14ac:dyDescent="0.3">
      <c r="A17" s="275" t="s">
        <v>3610</v>
      </c>
      <c r="B17" s="290" t="s">
        <v>3611</v>
      </c>
      <c r="C17" s="229" t="s">
        <v>274</v>
      </c>
      <c r="D17" s="229" t="s">
        <v>3612</v>
      </c>
      <c r="E17" s="343"/>
      <c r="F17" s="343"/>
      <c r="G17" s="343"/>
      <c r="H17" s="170"/>
      <c r="L17" s="170"/>
      <c r="M17" s="170"/>
    </row>
    <row r="18" spans="1:13" x14ac:dyDescent="0.3">
      <c r="A18" s="275" t="s">
        <v>3613</v>
      </c>
      <c r="B18" s="290" t="s">
        <v>3614</v>
      </c>
      <c r="C18" s="229" t="s">
        <v>3210</v>
      </c>
      <c r="D18" s="229" t="s">
        <v>3605</v>
      </c>
      <c r="E18" s="343"/>
      <c r="F18" s="343"/>
      <c r="G18" s="343"/>
      <c r="H18" s="170"/>
      <c r="L18" s="170"/>
      <c r="M18" s="170"/>
    </row>
    <row r="19" spans="1:13" x14ac:dyDescent="0.3">
      <c r="A19" s="275" t="s">
        <v>3615</v>
      </c>
      <c r="B19" s="290" t="s">
        <v>3616</v>
      </c>
      <c r="C19" s="229" t="s">
        <v>654</v>
      </c>
      <c r="D19" s="229" t="s">
        <v>654</v>
      </c>
      <c r="E19" s="343"/>
      <c r="F19" s="343"/>
      <c r="G19" s="343"/>
      <c r="H19" s="170"/>
      <c r="L19" s="170"/>
      <c r="M19" s="170"/>
    </row>
    <row r="20" spans="1:13" x14ac:dyDescent="0.3">
      <c r="A20" s="275" t="s">
        <v>3617</v>
      </c>
      <c r="B20" s="290" t="s">
        <v>3618</v>
      </c>
      <c r="C20" s="229" t="s">
        <v>3619</v>
      </c>
      <c r="D20" s="229" t="s">
        <v>3620</v>
      </c>
      <c r="E20" s="343"/>
      <c r="F20" s="343"/>
      <c r="G20" s="343"/>
      <c r="H20" s="170"/>
      <c r="L20" s="170"/>
      <c r="M20" s="170"/>
    </row>
    <row r="21" spans="1:13" x14ac:dyDescent="0.3">
      <c r="A21" s="275" t="s">
        <v>3621</v>
      </c>
      <c r="B21" s="290" t="s">
        <v>3622</v>
      </c>
      <c r="C21" s="229" t="s">
        <v>654</v>
      </c>
      <c r="D21" s="229" t="s">
        <v>654</v>
      </c>
      <c r="E21" s="343"/>
      <c r="F21" s="343"/>
      <c r="G21" s="343"/>
      <c r="H21" s="170"/>
      <c r="L21" s="170"/>
      <c r="M21" s="170"/>
    </row>
    <row r="22" spans="1:13" x14ac:dyDescent="0.3">
      <c r="A22" s="275" t="s">
        <v>3623</v>
      </c>
      <c r="B22" s="290" t="s">
        <v>3624</v>
      </c>
      <c r="C22" s="229" t="s">
        <v>654</v>
      </c>
      <c r="D22" s="229" t="s">
        <v>654</v>
      </c>
      <c r="E22" s="343"/>
      <c r="F22" s="343"/>
      <c r="G22" s="343"/>
      <c r="H22" s="170"/>
      <c r="L22" s="170"/>
      <c r="M22" s="170"/>
    </row>
    <row r="23" spans="1:13" x14ac:dyDescent="0.3">
      <c r="A23" s="275" t="s">
        <v>3625</v>
      </c>
      <c r="B23" s="290" t="s">
        <v>3626</v>
      </c>
      <c r="C23" s="229" t="s">
        <v>654</v>
      </c>
      <c r="D23" s="229" t="s">
        <v>654</v>
      </c>
      <c r="E23" s="343"/>
      <c r="F23" s="343"/>
      <c r="G23" s="343"/>
      <c r="H23" s="170"/>
      <c r="L23" s="170"/>
      <c r="M23" s="170"/>
    </row>
    <row r="24" spans="1:13" x14ac:dyDescent="0.3">
      <c r="A24" s="275" t="s">
        <v>3627</v>
      </c>
      <c r="B24" s="290" t="s">
        <v>3628</v>
      </c>
      <c r="C24" s="229" t="s">
        <v>3629</v>
      </c>
      <c r="D24" s="229" t="s">
        <v>654</v>
      </c>
      <c r="E24" s="343"/>
      <c r="F24" s="343"/>
      <c r="G24" s="343"/>
      <c r="H24" s="170"/>
      <c r="L24" s="170"/>
      <c r="M24" s="170"/>
    </row>
    <row r="25" spans="1:13" outlineLevel="1" x14ac:dyDescent="0.3">
      <c r="A25" s="275" t="s">
        <v>3630</v>
      </c>
      <c r="B25" s="293" t="s">
        <v>3631</v>
      </c>
      <c r="E25" s="343"/>
      <c r="F25" s="343"/>
      <c r="G25" s="343"/>
      <c r="H25" s="170"/>
      <c r="L25" s="170"/>
      <c r="M25" s="170"/>
    </row>
    <row r="26" spans="1:13" outlineLevel="1" x14ac:dyDescent="0.3">
      <c r="A26" s="275" t="s">
        <v>3632</v>
      </c>
      <c r="B26" s="231"/>
      <c r="E26" s="343"/>
      <c r="F26" s="343"/>
      <c r="G26" s="343"/>
      <c r="H26" s="170"/>
      <c r="L26" s="170"/>
      <c r="M26" s="170"/>
    </row>
    <row r="27" spans="1:13" outlineLevel="1" x14ac:dyDescent="0.3">
      <c r="A27" s="275" t="s">
        <v>3633</v>
      </c>
      <c r="B27" s="231"/>
      <c r="E27" s="343"/>
      <c r="F27" s="343"/>
      <c r="G27" s="343"/>
      <c r="H27" s="170"/>
      <c r="L27" s="170"/>
      <c r="M27" s="170"/>
    </row>
    <row r="28" spans="1:13" outlineLevel="1" x14ac:dyDescent="0.3">
      <c r="A28" s="275" t="s">
        <v>3634</v>
      </c>
      <c r="B28" s="231"/>
      <c r="E28" s="343"/>
      <c r="F28" s="343"/>
      <c r="G28" s="343"/>
      <c r="H28" s="170"/>
      <c r="L28" s="170"/>
      <c r="M28" s="170"/>
    </row>
    <row r="29" spans="1:13" outlineLevel="1" x14ac:dyDescent="0.3">
      <c r="A29" s="275" t="s">
        <v>3635</v>
      </c>
      <c r="B29" s="231"/>
      <c r="E29" s="343"/>
      <c r="F29" s="343"/>
      <c r="G29" s="343"/>
      <c r="H29" s="170"/>
      <c r="L29" s="170"/>
      <c r="M29" s="170"/>
    </row>
    <row r="30" spans="1:13" outlineLevel="1" x14ac:dyDescent="0.3">
      <c r="A30" s="275" t="s">
        <v>3636</v>
      </c>
      <c r="B30" s="231"/>
      <c r="E30" s="343"/>
      <c r="F30" s="343"/>
      <c r="G30" s="343"/>
      <c r="H30" s="170"/>
      <c r="L30" s="170"/>
      <c r="M30" s="170"/>
    </row>
    <row r="31" spans="1:13" outlineLevel="1" x14ac:dyDescent="0.3">
      <c r="A31" s="275" t="s">
        <v>3637</v>
      </c>
      <c r="B31" s="231"/>
      <c r="E31" s="343"/>
      <c r="F31" s="343"/>
      <c r="G31" s="343"/>
      <c r="H31" s="170"/>
      <c r="L31" s="170"/>
      <c r="M31" s="170"/>
    </row>
    <row r="32" spans="1:13" outlineLevel="1" x14ac:dyDescent="0.3">
      <c r="A32" s="275" t="s">
        <v>3638</v>
      </c>
      <c r="B32" s="231"/>
      <c r="E32" s="343"/>
      <c r="F32" s="343"/>
      <c r="G32" s="343"/>
      <c r="H32" s="170"/>
      <c r="L32" s="170"/>
      <c r="M32" s="170"/>
    </row>
    <row r="33" spans="1:13" ht="18.75" customHeight="1" x14ac:dyDescent="0.3">
      <c r="A33" s="345"/>
      <c r="B33" s="273" t="s">
        <v>3598</v>
      </c>
      <c r="C33" s="345"/>
      <c r="D33" s="345"/>
      <c r="E33" s="345"/>
      <c r="F33" s="345"/>
      <c r="G33" s="345"/>
      <c r="H33" s="170"/>
      <c r="L33" s="170"/>
      <c r="M33" s="170"/>
    </row>
    <row r="34" spans="1:13" ht="15" customHeight="1" x14ac:dyDescent="0.3">
      <c r="A34" s="289"/>
      <c r="B34" s="347" t="s">
        <v>3639</v>
      </c>
      <c r="C34" s="289" t="s">
        <v>3640</v>
      </c>
      <c r="D34" s="289" t="s">
        <v>3602</v>
      </c>
      <c r="E34" s="289" t="s">
        <v>3641</v>
      </c>
      <c r="F34" s="348"/>
      <c r="G34" s="348"/>
      <c r="H34" s="170"/>
      <c r="L34" s="170"/>
      <c r="M34" s="170"/>
    </row>
    <row r="35" spans="1:13" x14ac:dyDescent="0.3">
      <c r="A35" s="275" t="s">
        <v>3642</v>
      </c>
      <c r="B35" s="234" t="s">
        <v>3643</v>
      </c>
      <c r="C35" s="229" t="s">
        <v>654</v>
      </c>
      <c r="D35" s="229" t="s">
        <v>654</v>
      </c>
      <c r="E35" s="229" t="s">
        <v>654</v>
      </c>
      <c r="F35" s="530"/>
      <c r="G35" s="530"/>
      <c r="H35" s="170"/>
      <c r="L35" s="170"/>
      <c r="M35" s="170"/>
    </row>
    <row r="36" spans="1:13" x14ac:dyDescent="0.3">
      <c r="A36" s="275" t="s">
        <v>3644</v>
      </c>
      <c r="B36" s="234" t="s">
        <v>3645</v>
      </c>
      <c r="C36" s="229" t="s">
        <v>654</v>
      </c>
      <c r="D36" s="229" t="s">
        <v>654</v>
      </c>
      <c r="E36" s="229" t="s">
        <v>654</v>
      </c>
      <c r="H36" s="170"/>
      <c r="L36" s="170"/>
      <c r="M36" s="170"/>
    </row>
    <row r="37" spans="1:13" x14ac:dyDescent="0.3">
      <c r="A37" s="275" t="s">
        <v>3646</v>
      </c>
      <c r="B37" s="234" t="s">
        <v>3647</v>
      </c>
      <c r="C37" s="229" t="s">
        <v>654</v>
      </c>
      <c r="D37" s="229" t="s">
        <v>654</v>
      </c>
      <c r="E37" s="229" t="s">
        <v>654</v>
      </c>
      <c r="H37" s="170"/>
      <c r="L37" s="170"/>
      <c r="M37" s="170"/>
    </row>
    <row r="38" spans="1:13" x14ac:dyDescent="0.3">
      <c r="A38" s="275" t="s">
        <v>3648</v>
      </c>
      <c r="B38" s="234" t="s">
        <v>3649</v>
      </c>
      <c r="C38" s="229" t="s">
        <v>654</v>
      </c>
      <c r="D38" s="229" t="s">
        <v>654</v>
      </c>
      <c r="E38" s="229" t="s">
        <v>654</v>
      </c>
      <c r="H38" s="170"/>
      <c r="L38" s="170"/>
      <c r="M38" s="170"/>
    </row>
    <row r="39" spans="1:13" x14ac:dyDescent="0.3">
      <c r="A39" s="275" t="s">
        <v>3650</v>
      </c>
      <c r="B39" s="234" t="s">
        <v>3651</v>
      </c>
      <c r="C39" s="229" t="s">
        <v>654</v>
      </c>
      <c r="D39" s="229" t="s">
        <v>654</v>
      </c>
      <c r="E39" s="229" t="s">
        <v>654</v>
      </c>
      <c r="H39" s="170"/>
      <c r="L39" s="170"/>
      <c r="M39" s="170"/>
    </row>
    <row r="40" spans="1:13" x14ac:dyDescent="0.3">
      <c r="A40" s="275" t="s">
        <v>3652</v>
      </c>
      <c r="B40" s="234" t="s">
        <v>3653</v>
      </c>
      <c r="C40" s="229" t="s">
        <v>654</v>
      </c>
      <c r="D40" s="229" t="s">
        <v>654</v>
      </c>
      <c r="E40" s="229" t="s">
        <v>654</v>
      </c>
      <c r="H40" s="170"/>
      <c r="L40" s="170"/>
      <c r="M40" s="170"/>
    </row>
    <row r="41" spans="1:13" x14ac:dyDescent="0.3">
      <c r="A41" s="275" t="s">
        <v>3654</v>
      </c>
      <c r="B41" s="234" t="s">
        <v>3655</v>
      </c>
      <c r="C41" s="229" t="s">
        <v>654</v>
      </c>
      <c r="D41" s="229" t="s">
        <v>654</v>
      </c>
      <c r="E41" s="229" t="s">
        <v>654</v>
      </c>
      <c r="H41" s="170"/>
      <c r="L41" s="170"/>
      <c r="M41" s="170"/>
    </row>
    <row r="42" spans="1:13" x14ac:dyDescent="0.3">
      <c r="A42" s="275" t="s">
        <v>3656</v>
      </c>
      <c r="B42" s="234" t="s">
        <v>3657</v>
      </c>
      <c r="C42" s="229" t="s">
        <v>654</v>
      </c>
      <c r="D42" s="229" t="s">
        <v>654</v>
      </c>
      <c r="E42" s="229" t="s">
        <v>654</v>
      </c>
      <c r="H42" s="170"/>
      <c r="L42" s="170"/>
      <c r="M42" s="170"/>
    </row>
    <row r="43" spans="1:13" x14ac:dyDescent="0.3">
      <c r="A43" s="275" t="s">
        <v>3658</v>
      </c>
      <c r="B43" s="234" t="s">
        <v>3659</v>
      </c>
      <c r="C43" s="229" t="s">
        <v>654</v>
      </c>
      <c r="D43" s="229" t="s">
        <v>654</v>
      </c>
      <c r="E43" s="229" t="s">
        <v>654</v>
      </c>
      <c r="H43" s="170"/>
      <c r="L43" s="170"/>
      <c r="M43" s="170"/>
    </row>
    <row r="44" spans="1:13" x14ac:dyDescent="0.3">
      <c r="A44" s="275" t="s">
        <v>3660</v>
      </c>
      <c r="B44" s="234" t="s">
        <v>3661</v>
      </c>
      <c r="C44" s="229" t="s">
        <v>654</v>
      </c>
      <c r="D44" s="229" t="s">
        <v>654</v>
      </c>
      <c r="E44" s="229" t="s">
        <v>654</v>
      </c>
      <c r="H44" s="170"/>
      <c r="L44" s="170"/>
      <c r="M44" s="170"/>
    </row>
    <row r="45" spans="1:13" x14ac:dyDescent="0.3">
      <c r="A45" s="275" t="s">
        <v>3662</v>
      </c>
      <c r="B45" s="234" t="s">
        <v>3663</v>
      </c>
      <c r="C45" s="229" t="s">
        <v>654</v>
      </c>
      <c r="D45" s="229" t="s">
        <v>654</v>
      </c>
      <c r="E45" s="229" t="s">
        <v>654</v>
      </c>
      <c r="H45" s="170"/>
      <c r="L45" s="170"/>
      <c r="M45" s="170"/>
    </row>
    <row r="46" spans="1:13" x14ac:dyDescent="0.3">
      <c r="A46" s="275" t="s">
        <v>3664</v>
      </c>
      <c r="B46" s="234" t="s">
        <v>3665</v>
      </c>
      <c r="C46" s="229" t="s">
        <v>654</v>
      </c>
      <c r="D46" s="229" t="s">
        <v>654</v>
      </c>
      <c r="E46" s="229" t="s">
        <v>654</v>
      </c>
      <c r="H46" s="170"/>
      <c r="L46" s="170"/>
      <c r="M46" s="170"/>
    </row>
    <row r="47" spans="1:13" x14ac:dyDescent="0.3">
      <c r="A47" s="275" t="s">
        <v>3666</v>
      </c>
      <c r="B47" s="234" t="s">
        <v>3667</v>
      </c>
      <c r="C47" s="229" t="s">
        <v>654</v>
      </c>
      <c r="D47" s="229" t="s">
        <v>654</v>
      </c>
      <c r="E47" s="229" t="s">
        <v>654</v>
      </c>
      <c r="H47" s="170"/>
      <c r="L47" s="170"/>
      <c r="M47" s="170"/>
    </row>
    <row r="48" spans="1:13" x14ac:dyDescent="0.3">
      <c r="A48" s="275" t="s">
        <v>3668</v>
      </c>
      <c r="B48" s="234" t="s">
        <v>3669</v>
      </c>
      <c r="C48" s="229" t="s">
        <v>654</v>
      </c>
      <c r="D48" s="229" t="s">
        <v>654</v>
      </c>
      <c r="E48" s="229" t="s">
        <v>654</v>
      </c>
      <c r="H48" s="170"/>
      <c r="L48" s="170"/>
      <c r="M48" s="170"/>
    </row>
    <row r="49" spans="1:13" x14ac:dyDescent="0.3">
      <c r="A49" s="275" t="s">
        <v>3670</v>
      </c>
      <c r="B49" s="234" t="s">
        <v>3671</v>
      </c>
      <c r="C49" s="229" t="s">
        <v>654</v>
      </c>
      <c r="D49" s="229" t="s">
        <v>654</v>
      </c>
      <c r="E49" s="229" t="s">
        <v>654</v>
      </c>
      <c r="H49" s="170"/>
      <c r="L49" s="170"/>
      <c r="M49" s="170"/>
    </row>
    <row r="50" spans="1:13" x14ac:dyDescent="0.3">
      <c r="A50" s="275" t="s">
        <v>3672</v>
      </c>
      <c r="B50" s="234" t="s">
        <v>3673</v>
      </c>
      <c r="C50" s="229" t="s">
        <v>654</v>
      </c>
      <c r="D50" s="229" t="s">
        <v>654</v>
      </c>
      <c r="E50" s="229" t="s">
        <v>654</v>
      </c>
      <c r="H50" s="170"/>
      <c r="L50" s="170"/>
      <c r="M50" s="170"/>
    </row>
    <row r="51" spans="1:13" x14ac:dyDescent="0.3">
      <c r="A51" s="275" t="s">
        <v>3674</v>
      </c>
      <c r="B51" s="234" t="s">
        <v>3675</v>
      </c>
      <c r="C51" s="229" t="s">
        <v>654</v>
      </c>
      <c r="D51" s="229" t="s">
        <v>654</v>
      </c>
      <c r="E51" s="229" t="s">
        <v>654</v>
      </c>
      <c r="H51" s="170"/>
      <c r="L51" s="170"/>
      <c r="M51" s="170"/>
    </row>
    <row r="52" spans="1:13" x14ac:dyDescent="0.3">
      <c r="A52" s="275" t="s">
        <v>3676</v>
      </c>
      <c r="B52" s="234" t="s">
        <v>3677</v>
      </c>
      <c r="C52" s="229" t="s">
        <v>654</v>
      </c>
      <c r="D52" s="229" t="s">
        <v>654</v>
      </c>
      <c r="E52" s="229" t="s">
        <v>654</v>
      </c>
      <c r="H52" s="170"/>
      <c r="L52" s="170"/>
      <c r="M52" s="170"/>
    </row>
    <row r="53" spans="1:13" x14ac:dyDescent="0.3">
      <c r="A53" s="275" t="s">
        <v>3678</v>
      </c>
      <c r="B53" s="234" t="s">
        <v>3679</v>
      </c>
      <c r="C53" s="229" t="s">
        <v>654</v>
      </c>
      <c r="D53" s="229" t="s">
        <v>654</v>
      </c>
      <c r="E53" s="229" t="s">
        <v>654</v>
      </c>
      <c r="H53" s="170"/>
      <c r="L53" s="170"/>
      <c r="M53" s="170"/>
    </row>
    <row r="54" spans="1:13" x14ac:dyDescent="0.3">
      <c r="A54" s="275" t="s">
        <v>3680</v>
      </c>
      <c r="B54" s="234" t="s">
        <v>3681</v>
      </c>
      <c r="C54" s="229" t="s">
        <v>654</v>
      </c>
      <c r="D54" s="229" t="s">
        <v>654</v>
      </c>
      <c r="E54" s="229" t="s">
        <v>654</v>
      </c>
      <c r="H54" s="170"/>
      <c r="L54" s="170"/>
      <c r="M54" s="170"/>
    </row>
    <row r="55" spans="1:13" x14ac:dyDescent="0.3">
      <c r="A55" s="275" t="s">
        <v>3682</v>
      </c>
      <c r="B55" s="234" t="s">
        <v>3683</v>
      </c>
      <c r="C55" s="229" t="s">
        <v>654</v>
      </c>
      <c r="D55" s="229" t="s">
        <v>654</v>
      </c>
      <c r="E55" s="229" t="s">
        <v>654</v>
      </c>
      <c r="H55" s="170"/>
      <c r="L55" s="170"/>
      <c r="M55" s="170"/>
    </row>
    <row r="56" spans="1:13" x14ac:dyDescent="0.3">
      <c r="A56" s="275" t="s">
        <v>3684</v>
      </c>
      <c r="B56" s="234" t="s">
        <v>3685</v>
      </c>
      <c r="C56" s="229" t="s">
        <v>654</v>
      </c>
      <c r="D56" s="229" t="s">
        <v>654</v>
      </c>
      <c r="E56" s="229" t="s">
        <v>654</v>
      </c>
      <c r="H56" s="170"/>
      <c r="L56" s="170"/>
      <c r="M56" s="170"/>
    </row>
    <row r="57" spans="1:13" x14ac:dyDescent="0.3">
      <c r="A57" s="275" t="s">
        <v>3686</v>
      </c>
      <c r="B57" s="234" t="s">
        <v>3687</v>
      </c>
      <c r="C57" s="229" t="s">
        <v>654</v>
      </c>
      <c r="D57" s="229" t="s">
        <v>654</v>
      </c>
      <c r="E57" s="229" t="s">
        <v>654</v>
      </c>
      <c r="H57" s="170"/>
      <c r="L57" s="170"/>
      <c r="M57" s="170"/>
    </row>
    <row r="58" spans="1:13" x14ac:dyDescent="0.3">
      <c r="A58" s="275" t="s">
        <v>3688</v>
      </c>
      <c r="B58" s="234" t="s">
        <v>3689</v>
      </c>
      <c r="C58" s="229" t="s">
        <v>654</v>
      </c>
      <c r="D58" s="229" t="s">
        <v>654</v>
      </c>
      <c r="E58" s="229" t="s">
        <v>654</v>
      </c>
      <c r="H58" s="170"/>
      <c r="L58" s="170"/>
      <c r="M58" s="170"/>
    </row>
    <row r="59" spans="1:13" x14ac:dyDescent="0.3">
      <c r="A59" s="275" t="s">
        <v>3690</v>
      </c>
      <c r="B59" s="234" t="s">
        <v>3691</v>
      </c>
      <c r="C59" s="229" t="s">
        <v>654</v>
      </c>
      <c r="D59" s="229" t="s">
        <v>654</v>
      </c>
      <c r="E59" s="229" t="s">
        <v>654</v>
      </c>
      <c r="H59" s="170"/>
      <c r="L59" s="170"/>
      <c r="M59" s="170"/>
    </row>
    <row r="60" spans="1:13" hidden="1" outlineLevel="1" x14ac:dyDescent="0.3">
      <c r="A60" s="275" t="s">
        <v>3692</v>
      </c>
      <c r="B60" s="234"/>
      <c r="C60" s="531"/>
      <c r="D60" s="531"/>
      <c r="E60" s="532"/>
      <c r="F60" s="234"/>
      <c r="G60" s="234"/>
      <c r="H60" s="170"/>
      <c r="L60" s="170"/>
      <c r="M60" s="170"/>
    </row>
    <row r="61" spans="1:13" hidden="1" outlineLevel="1" x14ac:dyDescent="0.3">
      <c r="A61" s="275" t="s">
        <v>3693</v>
      </c>
      <c r="B61" s="234"/>
      <c r="E61" s="234"/>
      <c r="F61" s="234"/>
      <c r="G61" s="234"/>
      <c r="H61" s="170"/>
      <c r="L61" s="170"/>
      <c r="M61" s="170"/>
    </row>
    <row r="62" spans="1:13" hidden="1" outlineLevel="1" x14ac:dyDescent="0.3">
      <c r="A62" s="275" t="s">
        <v>3694</v>
      </c>
      <c r="B62" s="234"/>
      <c r="E62" s="234"/>
      <c r="F62" s="234"/>
      <c r="G62" s="234"/>
      <c r="H62" s="170"/>
      <c r="L62" s="170"/>
      <c r="M62" s="170"/>
    </row>
    <row r="63" spans="1:13" hidden="1" outlineLevel="1" x14ac:dyDescent="0.3">
      <c r="A63" s="275" t="s">
        <v>3695</v>
      </c>
      <c r="B63" s="234"/>
      <c r="E63" s="234"/>
      <c r="F63" s="234"/>
      <c r="G63" s="234"/>
      <c r="H63" s="170"/>
      <c r="L63" s="170"/>
      <c r="M63" s="170"/>
    </row>
    <row r="64" spans="1:13" hidden="1" outlineLevel="1" x14ac:dyDescent="0.3">
      <c r="A64" s="275" t="s">
        <v>3696</v>
      </c>
      <c r="B64" s="234"/>
      <c r="E64" s="234"/>
      <c r="F64" s="234"/>
      <c r="G64" s="234"/>
      <c r="H64" s="170"/>
      <c r="L64" s="170"/>
      <c r="M64" s="170"/>
    </row>
    <row r="65" spans="1:13" hidden="1" outlineLevel="1" x14ac:dyDescent="0.3">
      <c r="A65" s="275" t="s">
        <v>3697</v>
      </c>
      <c r="B65" s="234"/>
      <c r="E65" s="234"/>
      <c r="F65" s="234"/>
      <c r="G65" s="234"/>
      <c r="H65" s="170"/>
      <c r="L65" s="170"/>
      <c r="M65" s="170"/>
    </row>
    <row r="66" spans="1:13" hidden="1" outlineLevel="1" x14ac:dyDescent="0.3">
      <c r="A66" s="275" t="s">
        <v>3698</v>
      </c>
      <c r="B66" s="234"/>
      <c r="E66" s="234"/>
      <c r="F66" s="234"/>
      <c r="G66" s="234"/>
      <c r="H66" s="170"/>
      <c r="L66" s="170"/>
      <c r="M66" s="170"/>
    </row>
    <row r="67" spans="1:13" hidden="1" outlineLevel="1" x14ac:dyDescent="0.3">
      <c r="A67" s="275" t="s">
        <v>3699</v>
      </c>
      <c r="B67" s="234"/>
      <c r="E67" s="234"/>
      <c r="F67" s="234"/>
      <c r="G67" s="234"/>
      <c r="H67" s="170"/>
      <c r="L67" s="170"/>
      <c r="M67" s="170"/>
    </row>
    <row r="68" spans="1:13" hidden="1" outlineLevel="1" x14ac:dyDescent="0.3">
      <c r="A68" s="275" t="s">
        <v>3700</v>
      </c>
      <c r="B68" s="234"/>
      <c r="E68" s="234"/>
      <c r="F68" s="234"/>
      <c r="G68" s="234"/>
      <c r="H68" s="170"/>
      <c r="L68" s="170"/>
      <c r="M68" s="170"/>
    </row>
    <row r="69" spans="1:13" hidden="1" outlineLevel="1" x14ac:dyDescent="0.3">
      <c r="A69" s="275" t="s">
        <v>3701</v>
      </c>
      <c r="B69" s="234"/>
      <c r="E69" s="234"/>
      <c r="F69" s="234"/>
      <c r="G69" s="234"/>
      <c r="H69" s="170"/>
      <c r="L69" s="170"/>
      <c r="M69" s="170"/>
    </row>
    <row r="70" spans="1:13" hidden="1" outlineLevel="1" x14ac:dyDescent="0.3">
      <c r="A70" s="275" t="s">
        <v>3702</v>
      </c>
      <c r="B70" s="234"/>
      <c r="E70" s="234"/>
      <c r="F70" s="234"/>
      <c r="G70" s="234"/>
      <c r="H70" s="170"/>
      <c r="L70" s="170"/>
      <c r="M70" s="170"/>
    </row>
    <row r="71" spans="1:13" hidden="1" outlineLevel="1" x14ac:dyDescent="0.3">
      <c r="A71" s="275" t="s">
        <v>3703</v>
      </c>
      <c r="B71" s="234"/>
      <c r="E71" s="234"/>
      <c r="F71" s="234"/>
      <c r="G71" s="234"/>
      <c r="H71" s="170"/>
      <c r="L71" s="170"/>
      <c r="M71" s="170"/>
    </row>
    <row r="72" spans="1:13" hidden="1" outlineLevel="1" x14ac:dyDescent="0.3">
      <c r="A72" s="275" t="s">
        <v>3704</v>
      </c>
      <c r="B72" s="234"/>
      <c r="E72" s="234"/>
      <c r="F72" s="234"/>
      <c r="G72" s="234"/>
      <c r="H72" s="170"/>
      <c r="L72" s="170"/>
      <c r="M72" s="170"/>
    </row>
    <row r="73" spans="1:13" ht="18.75" customHeight="1" collapsed="1" x14ac:dyDescent="0.3">
      <c r="A73" s="345"/>
      <c r="B73" s="273" t="s">
        <v>3599</v>
      </c>
      <c r="C73" s="345"/>
      <c r="D73" s="345"/>
      <c r="E73" s="345"/>
      <c r="F73" s="345"/>
      <c r="G73" s="345"/>
      <c r="H73" s="170"/>
    </row>
    <row r="74" spans="1:13" ht="15" customHeight="1" x14ac:dyDescent="0.3">
      <c r="A74" s="289"/>
      <c r="B74" s="347" t="s">
        <v>1608</v>
      </c>
      <c r="C74" s="369" t="s">
        <v>3705</v>
      </c>
      <c r="D74" s="369" t="s">
        <v>3706</v>
      </c>
      <c r="E74" s="369" t="s">
        <v>3707</v>
      </c>
      <c r="F74" s="369" t="s">
        <v>3708</v>
      </c>
      <c r="G74" s="369" t="s">
        <v>3709</v>
      </c>
    </row>
    <row r="75" spans="1:13" x14ac:dyDescent="0.3">
      <c r="A75" s="275" t="s">
        <v>3710</v>
      </c>
      <c r="B75" s="275" t="s">
        <v>3711</v>
      </c>
      <c r="C75" s="229" cm="1">
        <f t="array" ref="C75">(SUMPRODUCT((Cube!$A$2:$A$10000="MOBILISE")*(Cube!$B$2:$B$10000="Summary")*(Cube!$C$2:$C$10000="ENAGEPRT")*(Cube!$H$2:$H$10000)))/12</f>
        <v>6.2149999999999999</v>
      </c>
      <c r="D75" s="229" t="s">
        <v>654</v>
      </c>
      <c r="E75" s="229" t="s">
        <v>654</v>
      </c>
      <c r="F75" s="229" t="s">
        <v>654</v>
      </c>
      <c r="G75" s="229">
        <f>C75</f>
        <v>6.2149999999999999</v>
      </c>
      <c r="H75" s="170"/>
    </row>
    <row r="76" spans="1:13" x14ac:dyDescent="0.3">
      <c r="A76" s="275" t="s">
        <v>3712</v>
      </c>
      <c r="B76" s="275" t="s">
        <v>3713</v>
      </c>
      <c r="C76" s="229" cm="1">
        <f t="array" ref="C76">(SUMPRODUCT((Cube!$A$2:$A$10000="MOBILISE")*(Cube!$B$2:$B$10000="Summary")*(Cube!$C$2:$C$10000="ENDRACOU")*(Cube!$H$2:$H$10000)))/12</f>
        <v>14.944166666666668</v>
      </c>
      <c r="D76" s="229" t="s">
        <v>654</v>
      </c>
      <c r="E76" s="229" t="s">
        <v>654</v>
      </c>
      <c r="F76" s="229" t="s">
        <v>654</v>
      </c>
      <c r="G76" s="229">
        <f>C76</f>
        <v>14.944166666666668</v>
      </c>
      <c r="H76" s="170"/>
    </row>
    <row r="77" spans="1:13" outlineLevel="1" x14ac:dyDescent="0.3">
      <c r="A77" s="275" t="s">
        <v>3714</v>
      </c>
      <c r="H77" s="170"/>
    </row>
    <row r="78" spans="1:13" outlineLevel="1" x14ac:dyDescent="0.3">
      <c r="A78" s="275" t="s">
        <v>3715</v>
      </c>
      <c r="H78" s="170"/>
    </row>
    <row r="79" spans="1:13" outlineLevel="1" x14ac:dyDescent="0.3">
      <c r="A79" s="275" t="s">
        <v>3716</v>
      </c>
      <c r="H79" s="170"/>
    </row>
    <row r="80" spans="1:13" outlineLevel="1" x14ac:dyDescent="0.3">
      <c r="A80" s="275" t="s">
        <v>3717</v>
      </c>
      <c r="H80" s="170"/>
    </row>
    <row r="81" spans="1:8" x14ac:dyDescent="0.3">
      <c r="A81" s="289"/>
      <c r="B81" s="347" t="s">
        <v>3718</v>
      </c>
      <c r="C81" s="289" t="s">
        <v>879</v>
      </c>
      <c r="D81" s="289" t="s">
        <v>880</v>
      </c>
      <c r="E81" s="348" t="s">
        <v>1620</v>
      </c>
      <c r="F81" s="348" t="s">
        <v>1805</v>
      </c>
      <c r="G81" s="348" t="s">
        <v>3719</v>
      </c>
      <c r="H81" s="170"/>
    </row>
    <row r="82" spans="1:8" x14ac:dyDescent="0.3">
      <c r="A82" s="275" t="s">
        <v>3720</v>
      </c>
      <c r="B82" s="275" t="s">
        <v>3721</v>
      </c>
      <c r="C82" s="533">
        <v>0</v>
      </c>
      <c r="D82" s="534" t="s">
        <v>654</v>
      </c>
      <c r="E82" s="534" t="s">
        <v>654</v>
      </c>
      <c r="F82" s="534" t="s">
        <v>654</v>
      </c>
      <c r="G82" s="534" t="s">
        <v>654</v>
      </c>
      <c r="H82" s="170"/>
    </row>
    <row r="83" spans="1:8" x14ac:dyDescent="0.3">
      <c r="A83" s="275" t="s">
        <v>3722</v>
      </c>
      <c r="B83" s="275" t="s">
        <v>3723</v>
      </c>
      <c r="C83" s="533">
        <v>0</v>
      </c>
      <c r="D83" s="534" t="s">
        <v>654</v>
      </c>
      <c r="E83" s="534" t="s">
        <v>654</v>
      </c>
      <c r="F83" s="534" t="s">
        <v>654</v>
      </c>
      <c r="G83" s="534" t="s">
        <v>654</v>
      </c>
      <c r="H83" s="170"/>
    </row>
    <row r="84" spans="1:8" x14ac:dyDescent="0.3">
      <c r="A84" s="275" t="s">
        <v>3724</v>
      </c>
      <c r="B84" s="275" t="s">
        <v>3725</v>
      </c>
      <c r="C84" s="533">
        <v>0</v>
      </c>
      <c r="D84" s="534" t="s">
        <v>654</v>
      </c>
      <c r="E84" s="534" t="s">
        <v>654</v>
      </c>
      <c r="F84" s="534" t="s">
        <v>654</v>
      </c>
      <c r="G84" s="534" t="s">
        <v>654</v>
      </c>
      <c r="H84" s="170"/>
    </row>
    <row r="85" spans="1:8" x14ac:dyDescent="0.3">
      <c r="A85" s="275" t="s">
        <v>3726</v>
      </c>
      <c r="B85" s="275" t="s">
        <v>3727</v>
      </c>
      <c r="C85" s="533">
        <v>0</v>
      </c>
      <c r="D85" s="534" t="s">
        <v>654</v>
      </c>
      <c r="E85" s="534" t="s">
        <v>654</v>
      </c>
      <c r="F85" s="534" t="s">
        <v>654</v>
      </c>
      <c r="G85" s="534" t="s">
        <v>654</v>
      </c>
      <c r="H85" s="170"/>
    </row>
    <row r="86" spans="1:8" x14ac:dyDescent="0.3">
      <c r="A86" s="275" t="s">
        <v>3728</v>
      </c>
      <c r="B86" s="275" t="s">
        <v>3729</v>
      </c>
      <c r="C86" s="533">
        <v>0</v>
      </c>
      <c r="D86" s="534" t="s">
        <v>654</v>
      </c>
      <c r="E86" s="534" t="s">
        <v>654</v>
      </c>
      <c r="F86" s="534" t="s">
        <v>654</v>
      </c>
      <c r="G86" s="534" t="s">
        <v>654</v>
      </c>
      <c r="H86" s="170"/>
    </row>
    <row r="87" spans="1:8" hidden="1" outlineLevel="1" x14ac:dyDescent="0.3">
      <c r="A87" s="275" t="s">
        <v>3730</v>
      </c>
      <c r="H87" s="170"/>
    </row>
    <row r="88" spans="1:8" hidden="1" outlineLevel="1" x14ac:dyDescent="0.3">
      <c r="A88" s="275" t="s">
        <v>3731</v>
      </c>
      <c r="H88" s="170"/>
    </row>
    <row r="89" spans="1:8" hidden="1" outlineLevel="1" x14ac:dyDescent="0.3">
      <c r="A89" s="275" t="s">
        <v>3732</v>
      </c>
      <c r="H89" s="170"/>
    </row>
    <row r="90" spans="1:8" hidden="1" outlineLevel="1" x14ac:dyDescent="0.3">
      <c r="A90" s="275" t="s">
        <v>3733</v>
      </c>
      <c r="H90" s="170"/>
    </row>
    <row r="91" spans="1:8" collapsed="1" x14ac:dyDescent="0.3">
      <c r="H91" s="170"/>
    </row>
    <row r="92" spans="1:8" x14ac:dyDescent="0.3">
      <c r="H92" s="170"/>
    </row>
    <row r="93" spans="1:8" x14ac:dyDescent="0.3">
      <c r="H93" s="170"/>
    </row>
    <row r="94" spans="1:8" x14ac:dyDescent="0.3">
      <c r="H94" s="170"/>
    </row>
    <row r="95" spans="1:8" x14ac:dyDescent="0.3">
      <c r="H95" s="170"/>
    </row>
    <row r="96" spans="1:8" x14ac:dyDescent="0.3">
      <c r="H96" s="170"/>
    </row>
    <row r="97" spans="8:8" x14ac:dyDescent="0.3">
      <c r="H97" s="170"/>
    </row>
    <row r="98" spans="8:8" x14ac:dyDescent="0.3">
      <c r="H98" s="170"/>
    </row>
    <row r="99" spans="8:8" x14ac:dyDescent="0.3">
      <c r="H99" s="170"/>
    </row>
    <row r="100" spans="8:8" x14ac:dyDescent="0.3">
      <c r="H100" s="170"/>
    </row>
    <row r="101" spans="8:8" x14ac:dyDescent="0.3">
      <c r="H101" s="170"/>
    </row>
    <row r="102" spans="8:8" x14ac:dyDescent="0.3">
      <c r="H102" s="170"/>
    </row>
    <row r="103" spans="8:8" x14ac:dyDescent="0.3">
      <c r="H103" s="170"/>
    </row>
    <row r="104" spans="8:8" x14ac:dyDescent="0.3">
      <c r="H104" s="170"/>
    </row>
    <row r="105" spans="8:8" x14ac:dyDescent="0.3">
      <c r="H105" s="170"/>
    </row>
    <row r="106" spans="8:8" x14ac:dyDescent="0.3">
      <c r="H106" s="170"/>
    </row>
    <row r="107" spans="8:8" x14ac:dyDescent="0.3">
      <c r="H107" s="170"/>
    </row>
    <row r="108" spans="8:8" x14ac:dyDescent="0.3">
      <c r="H108" s="170"/>
    </row>
    <row r="109" spans="8:8" x14ac:dyDescent="0.3">
      <c r="H109" s="170"/>
    </row>
    <row r="110" spans="8:8" x14ac:dyDescent="0.3">
      <c r="H110" s="170"/>
    </row>
    <row r="111" spans="8:8" x14ac:dyDescent="0.3">
      <c r="H111" s="170"/>
    </row>
    <row r="112" spans="8:8" x14ac:dyDescent="0.3">
      <c r="H112" s="170"/>
    </row>
  </sheetData>
  <protectedRanges>
    <protectedRange sqref="B77:B80" name="Optional ECBECAIs_1"/>
    <protectedRange sqref="B87:B90" name="Optional ECBECAIs_1_1"/>
  </protectedRanges>
  <mergeCells count="1">
    <mergeCell ref="A1:B1"/>
  </mergeCells>
  <hyperlinks>
    <hyperlink ref="B8" location="'E. Optional ECB-ECAIs data'!B33" display="2.  Additional information on the swaps" xr:uid="{00000000-0004-0000-1000-000000000000}"/>
    <hyperlink ref="B7" location="'E. Optional ECB-ECAIs data'!B12" display="1. Additional information on the programme" xr:uid="{00000000-0004-0000-1000-000001000000}"/>
    <hyperlink ref="B9" location="'E. Optional ECB-ECAIs data'!B73" display="3.  Additional information on the asset distribution" xr:uid="{00000000-0004-0000-10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4B4D-906E-416A-A8D1-8E62D1463079}">
  <sheetPr>
    <tabColor rgb="FF243386"/>
  </sheetPr>
  <dimension ref="A1:I639"/>
  <sheetViews>
    <sheetView topLeftCell="A19" zoomScale="70" zoomScaleNormal="70" workbookViewId="0">
      <selection activeCell="D34" sqref="D34"/>
    </sheetView>
  </sheetViews>
  <sheetFormatPr baseColWidth="10" defaultColWidth="11.44140625" defaultRowHeight="14.4" x14ac:dyDescent="0.3"/>
  <cols>
    <col min="1" max="1" width="13.33203125" style="194" customWidth="1"/>
    <col min="2" max="2" width="75.88671875" style="194" customWidth="1"/>
    <col min="3" max="3" width="49.6640625" customWidth="1"/>
    <col min="4" max="4" width="46" customWidth="1"/>
    <col min="5" max="5" width="12.44140625" customWidth="1"/>
    <col min="6" max="6" width="51" customWidth="1"/>
    <col min="7" max="7" width="52.33203125" customWidth="1"/>
    <col min="8" max="8" width="11.44140625" customWidth="1"/>
  </cols>
  <sheetData>
    <row r="1" spans="1:7" ht="31.5" customHeight="1" x14ac:dyDescent="0.3">
      <c r="A1" s="171" t="s">
        <v>3734</v>
      </c>
      <c r="B1" s="195"/>
      <c r="C1" s="170"/>
      <c r="D1" s="170"/>
      <c r="E1" s="170"/>
      <c r="F1" s="172" t="str">
        <f>'A. HTT General'!F1</f>
        <v>HTT 2026</v>
      </c>
      <c r="G1" s="173"/>
    </row>
    <row r="2" spans="1:7" x14ac:dyDescent="0.3">
      <c r="A2" s="170"/>
      <c r="B2" s="170"/>
      <c r="C2" s="170"/>
      <c r="D2" s="170"/>
      <c r="E2" s="170"/>
      <c r="F2" s="170"/>
      <c r="G2" s="170"/>
    </row>
    <row r="3" spans="1:7" ht="15.75" customHeight="1" x14ac:dyDescent="0.3">
      <c r="A3" s="170"/>
      <c r="B3" s="170"/>
      <c r="C3" s="170"/>
      <c r="D3" s="170"/>
      <c r="E3" s="170"/>
      <c r="F3" s="170"/>
      <c r="G3" s="170"/>
    </row>
    <row r="4" spans="1:7" ht="19.5" customHeight="1" x14ac:dyDescent="0.3">
      <c r="A4" s="170"/>
      <c r="B4" s="266" t="s">
        <v>260</v>
      </c>
      <c r="C4" s="175" t="s">
        <v>261</v>
      </c>
      <c r="D4" s="170"/>
      <c r="E4" s="267"/>
      <c r="F4" s="267"/>
      <c r="G4" s="268"/>
    </row>
    <row r="5" spans="1:7" ht="15.75" customHeight="1" x14ac:dyDescent="0.3">
      <c r="A5" s="170"/>
      <c r="B5" s="170"/>
      <c r="C5" s="170"/>
      <c r="D5" s="170"/>
      <c r="E5" s="170"/>
      <c r="F5" s="170"/>
      <c r="G5" s="170"/>
    </row>
    <row r="6" spans="1:7" ht="18.75" customHeight="1" x14ac:dyDescent="0.3">
      <c r="A6" s="170"/>
      <c r="B6" s="640" t="s">
        <v>3735</v>
      </c>
      <c r="C6" s="641"/>
      <c r="D6" s="170"/>
      <c r="E6" s="270"/>
      <c r="F6" s="270"/>
      <c r="G6" s="270"/>
    </row>
    <row r="7" spans="1:7" x14ac:dyDescent="0.3">
      <c r="A7" s="170"/>
      <c r="B7" s="642" t="s">
        <v>3736</v>
      </c>
      <c r="C7" s="643"/>
      <c r="D7" s="170"/>
      <c r="E7" s="271"/>
      <c r="F7" s="271"/>
      <c r="G7" s="271"/>
    </row>
    <row r="8" spans="1:7" x14ac:dyDescent="0.3">
      <c r="A8" s="170"/>
      <c r="B8" s="642" t="s">
        <v>3737</v>
      </c>
      <c r="C8" s="643"/>
      <c r="D8" s="170"/>
      <c r="E8" s="271"/>
      <c r="F8" s="271"/>
      <c r="G8" s="271"/>
    </row>
    <row r="9" spans="1:7" x14ac:dyDescent="0.3">
      <c r="A9" s="170"/>
      <c r="B9" s="644" t="s">
        <v>3738</v>
      </c>
      <c r="C9" s="643"/>
      <c r="D9" s="170"/>
      <c r="E9" s="271"/>
      <c r="F9" s="271"/>
      <c r="G9" s="271"/>
    </row>
    <row r="10" spans="1:7" ht="15.75" customHeight="1" x14ac:dyDescent="0.3">
      <c r="A10" s="170"/>
      <c r="B10" s="645" t="s">
        <v>3739</v>
      </c>
      <c r="C10" s="646"/>
      <c r="D10" s="170"/>
      <c r="E10" s="271"/>
      <c r="F10" s="271"/>
      <c r="G10" s="271"/>
    </row>
    <row r="11" spans="1:7" x14ac:dyDescent="0.3">
      <c r="A11" s="170"/>
      <c r="B11" s="170"/>
      <c r="C11" s="170"/>
      <c r="D11" s="170"/>
      <c r="E11" s="271"/>
      <c r="F11" s="271"/>
      <c r="G11" s="271"/>
    </row>
    <row r="12" spans="1:7" x14ac:dyDescent="0.3">
      <c r="A12" s="170"/>
      <c r="B12" s="170"/>
      <c r="C12" s="170"/>
      <c r="D12" s="170"/>
      <c r="E12" s="622"/>
      <c r="F12" s="622"/>
      <c r="G12" s="170"/>
    </row>
    <row r="13" spans="1:7" ht="18.75" customHeight="1" x14ac:dyDescent="0.3">
      <c r="A13" s="273"/>
      <c r="B13" s="639" t="s">
        <v>3736</v>
      </c>
      <c r="C13" s="639"/>
      <c r="D13" s="639"/>
      <c r="E13" s="273"/>
      <c r="F13" s="273"/>
      <c r="G13" s="273"/>
    </row>
    <row r="14" spans="1:7" x14ac:dyDescent="0.3">
      <c r="A14" s="289"/>
      <c r="B14" s="289" t="s">
        <v>3740</v>
      </c>
      <c r="C14" s="289" t="s">
        <v>310</v>
      </c>
      <c r="D14" s="289" t="s">
        <v>3414</v>
      </c>
      <c r="E14" s="289"/>
      <c r="F14" s="289" t="s">
        <v>3741</v>
      </c>
      <c r="G14" s="289" t="s">
        <v>3742</v>
      </c>
    </row>
    <row r="15" spans="1:7" x14ac:dyDescent="0.3">
      <c r="A15" s="275" t="s">
        <v>3743</v>
      </c>
      <c r="B15" s="316" t="s">
        <v>3744</v>
      </c>
      <c r="C15" s="278" cm="1">
        <f t="array" ref="C15">(SUMPRODUCT((Cube!$A$2:$A$9999="GREEN")*(Cube!$B$2:$B$9999="Summary")*(Cube!$C$2:$C$9999="MTKRDC")*(Cube!$E$2:$E$9999))/ 1000000)</f>
        <v>14764.685717419999</v>
      </c>
      <c r="D15" s="278" cm="1">
        <f t="array" ref="D15">(SUMPRODUCT((Cube!$A$2:$A$9999="GREEN")*(Cube!$B$2:$B$9999="Summary")*(Cube!$C$2:$C$9999="MTKRDC")*(Cube!$D$2:$D$9999)))</f>
        <v>127339</v>
      </c>
      <c r="F15" s="279">
        <v>1</v>
      </c>
      <c r="G15" s="279">
        <v>1</v>
      </c>
    </row>
    <row r="16" spans="1:7" x14ac:dyDescent="0.3">
      <c r="A16" s="275" t="s">
        <v>3745</v>
      </c>
      <c r="B16" s="290" t="s">
        <v>3746</v>
      </c>
      <c r="C16" s="280">
        <v>0</v>
      </c>
      <c r="D16" s="280">
        <v>0</v>
      </c>
      <c r="F16" s="279">
        <v>0</v>
      </c>
      <c r="G16" s="279">
        <v>0</v>
      </c>
    </row>
    <row r="17" spans="1:7" x14ac:dyDescent="0.3">
      <c r="A17" s="275" t="s">
        <v>3747</v>
      </c>
      <c r="B17" s="290" t="s">
        <v>3748</v>
      </c>
      <c r="C17" s="280">
        <v>0</v>
      </c>
      <c r="D17" s="280">
        <v>0</v>
      </c>
      <c r="F17" s="279">
        <v>0</v>
      </c>
      <c r="G17" s="279">
        <v>0</v>
      </c>
    </row>
    <row r="18" spans="1:7" x14ac:dyDescent="0.3">
      <c r="A18" s="275" t="s">
        <v>3749</v>
      </c>
      <c r="B18" s="290" t="s">
        <v>3750</v>
      </c>
      <c r="C18" s="323">
        <f>SUM(C15:C17)</f>
        <v>14764.685717419999</v>
      </c>
      <c r="D18" s="323">
        <f>SUM(D15:D17)</f>
        <v>127339</v>
      </c>
      <c r="F18" s="321">
        <f>SUM(F15:F17)</f>
        <v>1</v>
      </c>
      <c r="G18" s="321">
        <f>SUM(G15:G17)</f>
        <v>1</v>
      </c>
    </row>
    <row r="19" spans="1:7" x14ac:dyDescent="0.3">
      <c r="A19" s="290" t="s">
        <v>3751</v>
      </c>
      <c r="B19" s="535" t="s">
        <v>3752</v>
      </c>
      <c r="C19" s="536"/>
      <c r="D19" s="234"/>
      <c r="F19" s="234"/>
      <c r="G19" s="234"/>
    </row>
    <row r="20" spans="1:7" x14ac:dyDescent="0.3">
      <c r="A20" s="290" t="s">
        <v>3753</v>
      </c>
      <c r="B20" s="227" t="s">
        <v>354</v>
      </c>
      <c r="C20" s="282"/>
      <c r="D20" s="234"/>
      <c r="F20" s="234"/>
      <c r="G20" s="234"/>
    </row>
    <row r="21" spans="1:7" x14ac:dyDescent="0.3">
      <c r="A21" s="290" t="s">
        <v>3754</v>
      </c>
      <c r="B21" s="227" t="s">
        <v>354</v>
      </c>
      <c r="C21" s="282"/>
      <c r="D21" s="234"/>
      <c r="F21" s="234"/>
      <c r="G21" s="234"/>
    </row>
    <row r="22" spans="1:7" x14ac:dyDescent="0.3">
      <c r="A22" s="290" t="s">
        <v>3755</v>
      </c>
      <c r="B22" s="227" t="s">
        <v>354</v>
      </c>
      <c r="C22" s="282"/>
      <c r="D22" s="234"/>
      <c r="F22" s="234"/>
      <c r="G22" s="234"/>
    </row>
    <row r="23" spans="1:7" x14ac:dyDescent="0.3">
      <c r="A23" s="290" t="s">
        <v>3756</v>
      </c>
      <c r="B23" s="227" t="s">
        <v>354</v>
      </c>
      <c r="C23" s="282"/>
      <c r="D23" s="234"/>
      <c r="F23" s="234"/>
      <c r="G23" s="234"/>
    </row>
    <row r="24" spans="1:7" ht="18.75" customHeight="1" x14ac:dyDescent="0.3">
      <c r="A24" s="273"/>
      <c r="B24" s="639" t="s">
        <v>3737</v>
      </c>
      <c r="C24" s="639"/>
      <c r="D24" s="639"/>
      <c r="E24" s="273"/>
      <c r="F24" s="273"/>
      <c r="G24" s="273"/>
    </row>
    <row r="25" spans="1:7" x14ac:dyDescent="0.3">
      <c r="A25" s="289"/>
      <c r="B25" s="289" t="s">
        <v>3757</v>
      </c>
      <c r="C25" s="289" t="s">
        <v>310</v>
      </c>
      <c r="D25" s="289"/>
      <c r="E25" s="289"/>
      <c r="F25" s="289" t="s">
        <v>3758</v>
      </c>
      <c r="G25" s="289"/>
    </row>
    <row r="26" spans="1:7" x14ac:dyDescent="0.3">
      <c r="A26" s="275" t="s">
        <v>3759</v>
      </c>
      <c r="B26" s="275" t="s">
        <v>845</v>
      </c>
      <c r="C26" s="280">
        <f>C15</f>
        <v>14764.685717419999</v>
      </c>
      <c r="D26" s="284"/>
      <c r="E26" s="284"/>
      <c r="F26" s="321">
        <v>1</v>
      </c>
      <c r="G26" s="284"/>
    </row>
    <row r="27" spans="1:7" x14ac:dyDescent="0.3">
      <c r="A27" s="275" t="s">
        <v>3760</v>
      </c>
      <c r="B27" s="275" t="s">
        <v>848</v>
      </c>
      <c r="C27" s="280">
        <v>0</v>
      </c>
      <c r="D27" s="284"/>
      <c r="E27" s="284"/>
      <c r="F27" s="321">
        <v>0</v>
      </c>
      <c r="G27" s="284"/>
    </row>
    <row r="28" spans="1:7" x14ac:dyDescent="0.3">
      <c r="A28" s="275" t="s">
        <v>3761</v>
      </c>
      <c r="B28" s="275" t="s">
        <v>350</v>
      </c>
      <c r="C28" s="280">
        <v>0</v>
      </c>
      <c r="D28" s="284"/>
      <c r="E28" s="284"/>
      <c r="F28" s="321">
        <v>0</v>
      </c>
      <c r="G28" s="284"/>
    </row>
    <row r="29" spans="1:7" x14ac:dyDescent="0.3">
      <c r="A29" s="275" t="s">
        <v>3762</v>
      </c>
      <c r="B29" s="322" t="s">
        <v>352</v>
      </c>
      <c r="C29" s="323">
        <f>SUM(C26:C28)</f>
        <v>14764.685717419999</v>
      </c>
      <c r="D29" s="236"/>
      <c r="E29" s="236"/>
      <c r="F29" s="321">
        <f>SUM(F26:F28)</f>
        <v>1</v>
      </c>
      <c r="G29" s="236"/>
    </row>
    <row r="30" spans="1:7" x14ac:dyDescent="0.3">
      <c r="A30" s="275" t="s">
        <v>3763</v>
      </c>
      <c r="B30" s="324" t="s">
        <v>854</v>
      </c>
      <c r="C30" s="284"/>
      <c r="D30" s="284"/>
      <c r="E30" s="284"/>
      <c r="F30" s="537"/>
      <c r="G30" s="284"/>
    </row>
    <row r="31" spans="1:7" x14ac:dyDescent="0.3">
      <c r="A31" s="275" t="s">
        <v>3764</v>
      </c>
      <c r="B31" s="324" t="s">
        <v>3765</v>
      </c>
      <c r="C31" s="284"/>
      <c r="D31" s="284"/>
      <c r="E31" s="284"/>
      <c r="F31" s="537"/>
      <c r="G31" s="284"/>
    </row>
    <row r="32" spans="1:7" x14ac:dyDescent="0.3">
      <c r="A32" s="275" t="s">
        <v>3766</v>
      </c>
      <c r="B32" s="324" t="s">
        <v>3767</v>
      </c>
      <c r="C32" s="284"/>
      <c r="D32" s="284"/>
      <c r="E32" s="284"/>
      <c r="F32" s="537"/>
      <c r="G32" s="284"/>
    </row>
    <row r="33" spans="1:7" x14ac:dyDescent="0.3">
      <c r="A33" s="275" t="s">
        <v>3768</v>
      </c>
      <c r="B33" s="324" t="s">
        <v>3769</v>
      </c>
      <c r="C33" s="284"/>
      <c r="D33" s="284"/>
      <c r="E33" s="284"/>
      <c r="F33" s="537"/>
      <c r="G33" s="284"/>
    </row>
    <row r="34" spans="1:7" x14ac:dyDescent="0.3">
      <c r="A34" s="275" t="s">
        <v>3770</v>
      </c>
      <c r="B34" s="324" t="s">
        <v>3771</v>
      </c>
      <c r="C34" s="235"/>
      <c r="D34" s="230"/>
      <c r="E34" s="230"/>
      <c r="F34" s="538" t="s">
        <v>846</v>
      </c>
      <c r="G34" s="174"/>
    </row>
    <row r="35" spans="1:7" x14ac:dyDescent="0.3">
      <c r="A35" s="275" t="s">
        <v>3772</v>
      </c>
      <c r="B35" s="324" t="s">
        <v>3773</v>
      </c>
      <c r="C35" s="284"/>
      <c r="D35" s="284"/>
      <c r="E35" s="284"/>
      <c r="F35" s="537"/>
      <c r="G35" s="284"/>
    </row>
    <row r="36" spans="1:7" x14ac:dyDescent="0.3">
      <c r="A36" s="275" t="s">
        <v>3774</v>
      </c>
      <c r="B36" s="324" t="s">
        <v>3775</v>
      </c>
      <c r="C36" s="284"/>
      <c r="D36" s="284"/>
      <c r="E36" s="284"/>
      <c r="F36" s="537"/>
      <c r="G36" s="284"/>
    </row>
    <row r="37" spans="1:7" x14ac:dyDescent="0.3">
      <c r="A37" s="275" t="s">
        <v>3776</v>
      </c>
      <c r="B37" s="324" t="s">
        <v>3777</v>
      </c>
      <c r="C37" s="284"/>
      <c r="D37" s="284"/>
      <c r="E37" s="284"/>
      <c r="F37" s="537"/>
      <c r="G37" s="284"/>
    </row>
    <row r="38" spans="1:7" x14ac:dyDescent="0.3">
      <c r="A38" s="275" t="s">
        <v>3778</v>
      </c>
      <c r="B38" s="324" t="s">
        <v>3779</v>
      </c>
      <c r="C38" s="236"/>
      <c r="D38" s="236"/>
      <c r="E38" s="236"/>
      <c r="F38" s="539"/>
      <c r="G38" s="236"/>
    </row>
    <row r="39" spans="1:7" x14ac:dyDescent="0.3">
      <c r="A39" s="275" t="s">
        <v>3780</v>
      </c>
      <c r="B39" s="540" t="s">
        <v>3781</v>
      </c>
      <c r="C39" s="284"/>
      <c r="D39" s="284"/>
      <c r="E39" s="284"/>
      <c r="F39" s="537"/>
      <c r="G39" s="284"/>
    </row>
    <row r="40" spans="1:7" x14ac:dyDescent="0.3">
      <c r="A40" s="275" t="s">
        <v>3782</v>
      </c>
      <c r="B40" s="227" t="s">
        <v>354</v>
      </c>
      <c r="C40" s="284"/>
      <c r="D40" s="284"/>
      <c r="E40" s="284"/>
      <c r="F40" s="284"/>
      <c r="G40" s="284"/>
    </row>
    <row r="41" spans="1:7" x14ac:dyDescent="0.3">
      <c r="A41" s="275" t="s">
        <v>3783</v>
      </c>
      <c r="B41" s="227" t="s">
        <v>354</v>
      </c>
      <c r="C41" s="284"/>
      <c r="D41" s="284"/>
      <c r="E41" s="284"/>
      <c r="F41" s="284"/>
      <c r="G41" s="284"/>
    </row>
    <row r="42" spans="1:7" x14ac:dyDescent="0.3">
      <c r="A42" s="275" t="s">
        <v>3784</v>
      </c>
      <c r="B42" s="227" t="s">
        <v>354</v>
      </c>
      <c r="C42" s="284"/>
      <c r="D42" s="284"/>
      <c r="E42" s="284"/>
      <c r="F42" s="284"/>
      <c r="G42" s="284"/>
    </row>
    <row r="43" spans="1:7" x14ac:dyDescent="0.3">
      <c r="A43" s="275" t="s">
        <v>3785</v>
      </c>
      <c r="B43" s="227" t="s">
        <v>354</v>
      </c>
      <c r="C43" s="235"/>
      <c r="D43" s="230"/>
      <c r="E43" s="230"/>
      <c r="F43" s="288"/>
      <c r="G43" s="174"/>
    </row>
    <row r="44" spans="1:7" x14ac:dyDescent="0.3">
      <c r="A44" s="275" t="s">
        <v>3786</v>
      </c>
      <c r="B44" s="227" t="s">
        <v>354</v>
      </c>
      <c r="C44" s="284"/>
      <c r="D44" s="284"/>
      <c r="E44" s="284"/>
      <c r="F44" s="284"/>
      <c r="G44" s="284"/>
    </row>
    <row r="45" spans="1:7" x14ac:dyDescent="0.3">
      <c r="A45" s="275" t="s">
        <v>3787</v>
      </c>
      <c r="B45" s="227" t="s">
        <v>354</v>
      </c>
      <c r="C45" s="284"/>
      <c r="D45" s="284"/>
      <c r="E45" s="284"/>
      <c r="F45" s="284"/>
      <c r="G45" s="284"/>
    </row>
    <row r="46" spans="1:7" x14ac:dyDescent="0.3">
      <c r="A46" s="275" t="s">
        <v>3788</v>
      </c>
      <c r="B46" s="227" t="s">
        <v>354</v>
      </c>
      <c r="C46" s="284"/>
      <c r="D46" s="284"/>
      <c r="E46" s="284"/>
      <c r="F46" s="284"/>
      <c r="G46" s="284"/>
    </row>
    <row r="47" spans="1:7" x14ac:dyDescent="0.3">
      <c r="A47" s="275" t="s">
        <v>3789</v>
      </c>
      <c r="B47" s="227" t="s">
        <v>354</v>
      </c>
      <c r="C47" s="236"/>
      <c r="D47" s="236"/>
      <c r="E47" s="236"/>
      <c r="F47" s="236"/>
      <c r="G47" s="236"/>
    </row>
    <row r="48" spans="1:7" x14ac:dyDescent="0.3">
      <c r="A48" s="289"/>
      <c r="B48" s="289" t="s">
        <v>864</v>
      </c>
      <c r="C48" s="289" t="s">
        <v>865</v>
      </c>
      <c r="D48" s="289" t="s">
        <v>866</v>
      </c>
      <c r="E48" s="289"/>
      <c r="F48" s="289" t="s">
        <v>3790</v>
      </c>
      <c r="G48" s="289"/>
    </row>
    <row r="49" spans="1:7" x14ac:dyDescent="0.3">
      <c r="A49" s="275" t="s">
        <v>3791</v>
      </c>
      <c r="B49" s="275" t="s">
        <v>3792</v>
      </c>
      <c r="C49" s="202">
        <f>D15</f>
        <v>127339</v>
      </c>
      <c r="D49" s="194">
        <v>0</v>
      </c>
      <c r="F49" s="302">
        <v>1</v>
      </c>
    </row>
    <row r="50" spans="1:7" x14ac:dyDescent="0.3">
      <c r="A50" s="275" t="s">
        <v>3793</v>
      </c>
      <c r="B50" s="541" t="s">
        <v>871</v>
      </c>
    </row>
    <row r="51" spans="1:7" x14ac:dyDescent="0.3">
      <c r="A51" s="275" t="s">
        <v>3794</v>
      </c>
      <c r="B51" s="541" t="s">
        <v>873</v>
      </c>
    </row>
    <row r="52" spans="1:7" x14ac:dyDescent="0.3">
      <c r="A52" s="275" t="s">
        <v>3795</v>
      </c>
      <c r="B52" s="228"/>
    </row>
    <row r="53" spans="1:7" x14ac:dyDescent="0.3">
      <c r="A53" s="275" t="s">
        <v>3796</v>
      </c>
      <c r="B53" s="228"/>
    </row>
    <row r="54" spans="1:7" x14ac:dyDescent="0.3">
      <c r="A54" s="275" t="s">
        <v>3797</v>
      </c>
      <c r="B54" s="228"/>
    </row>
    <row r="55" spans="1:7" x14ac:dyDescent="0.3">
      <c r="A55" s="275" t="s">
        <v>3798</v>
      </c>
      <c r="B55" s="228"/>
    </row>
    <row r="56" spans="1:7" x14ac:dyDescent="0.3">
      <c r="A56" s="289"/>
      <c r="B56" s="289" t="s">
        <v>878</v>
      </c>
      <c r="C56" s="289" t="s">
        <v>879</v>
      </c>
      <c r="D56" s="289" t="s">
        <v>880</v>
      </c>
      <c r="E56" s="289"/>
      <c r="F56" s="289" t="s">
        <v>881</v>
      </c>
      <c r="G56" s="289"/>
    </row>
    <row r="57" spans="1:7" x14ac:dyDescent="0.3">
      <c r="A57" s="275" t="s">
        <v>3799</v>
      </c>
      <c r="B57" s="275" t="s">
        <v>883</v>
      </c>
      <c r="C57" s="198" cm="1">
        <f t="array" ref="C57">IFERROR((SUMPRODUCT((Cube!$A$2:$A$9999="GREEN")*(Cube!$B$2:$B$9999="10 largest exposures")*(Cube!$E$2:$E$9999)))/1000000/ C15,"")</f>
        <v>3.7792544973825883E-4</v>
      </c>
      <c r="D57" s="198">
        <v>0</v>
      </c>
      <c r="F57" s="302">
        <v>1</v>
      </c>
    </row>
    <row r="58" spans="1:7" x14ac:dyDescent="0.3">
      <c r="A58" s="275" t="s">
        <v>3800</v>
      </c>
      <c r="B58" s="229"/>
    </row>
    <row r="59" spans="1:7" x14ac:dyDescent="0.3">
      <c r="A59" s="275" t="s">
        <v>3801</v>
      </c>
      <c r="B59" s="229"/>
    </row>
    <row r="60" spans="1:7" x14ac:dyDescent="0.3">
      <c r="A60" s="275" t="s">
        <v>3802</v>
      </c>
      <c r="B60" s="229"/>
    </row>
    <row r="61" spans="1:7" x14ac:dyDescent="0.3">
      <c r="A61" s="275" t="s">
        <v>3803</v>
      </c>
      <c r="B61" s="229"/>
    </row>
    <row r="62" spans="1:7" x14ac:dyDescent="0.3">
      <c r="A62" s="275" t="s">
        <v>3804</v>
      </c>
      <c r="B62" s="229"/>
    </row>
    <row r="63" spans="1:7" x14ac:dyDescent="0.3">
      <c r="A63" s="275" t="s">
        <v>3805</v>
      </c>
      <c r="B63" s="229"/>
    </row>
    <row r="64" spans="1:7" x14ac:dyDescent="0.3">
      <c r="A64" s="289"/>
      <c r="B64" s="289" t="s">
        <v>890</v>
      </c>
      <c r="C64" s="289" t="s">
        <v>879</v>
      </c>
      <c r="D64" s="289" t="s">
        <v>880</v>
      </c>
      <c r="E64" s="289"/>
      <c r="F64" s="289" t="s">
        <v>881</v>
      </c>
      <c r="G64" s="289"/>
    </row>
    <row r="65" spans="1:6" x14ac:dyDescent="0.3">
      <c r="A65" s="275" t="s">
        <v>3806</v>
      </c>
      <c r="B65" s="326" t="s">
        <v>892</v>
      </c>
      <c r="C65" s="327">
        <v>100</v>
      </c>
      <c r="D65" s="327">
        <v>0</v>
      </c>
      <c r="E65" s="327"/>
      <c r="F65" s="327">
        <v>100</v>
      </c>
    </row>
    <row r="66" spans="1:6" x14ac:dyDescent="0.3">
      <c r="A66" s="275" t="s">
        <v>3807</v>
      </c>
      <c r="B66" s="275" t="s">
        <v>894</v>
      </c>
      <c r="C66" s="194">
        <v>0</v>
      </c>
      <c r="D66" s="194">
        <v>0</v>
      </c>
      <c r="E66" s="194"/>
      <c r="F66" s="194">
        <v>0</v>
      </c>
    </row>
    <row r="67" spans="1:6" x14ac:dyDescent="0.3">
      <c r="A67" s="275" t="s">
        <v>3808</v>
      </c>
      <c r="B67" s="275" t="s">
        <v>896</v>
      </c>
      <c r="C67" s="194">
        <v>0</v>
      </c>
      <c r="D67" s="194">
        <v>0</v>
      </c>
      <c r="E67" s="194"/>
      <c r="F67" s="194">
        <v>0</v>
      </c>
    </row>
    <row r="68" spans="1:6" x14ac:dyDescent="0.3">
      <c r="A68" s="275" t="s">
        <v>3809</v>
      </c>
      <c r="B68" s="275" t="s">
        <v>898</v>
      </c>
      <c r="C68" s="194">
        <v>0</v>
      </c>
      <c r="D68" s="194">
        <v>0</v>
      </c>
      <c r="E68" s="194"/>
      <c r="F68" s="194">
        <v>0</v>
      </c>
    </row>
    <row r="69" spans="1:6" x14ac:dyDescent="0.3">
      <c r="A69" s="275" t="s">
        <v>3810</v>
      </c>
      <c r="B69" s="275" t="s">
        <v>900</v>
      </c>
      <c r="C69" s="194">
        <v>0</v>
      </c>
      <c r="D69" s="194">
        <v>0</v>
      </c>
      <c r="E69" s="194"/>
      <c r="F69" s="194">
        <v>0</v>
      </c>
    </row>
    <row r="70" spans="1:6" x14ac:dyDescent="0.3">
      <c r="A70" s="275" t="s">
        <v>3811</v>
      </c>
      <c r="B70" s="275" t="s">
        <v>902</v>
      </c>
      <c r="C70" s="194">
        <v>0</v>
      </c>
      <c r="D70" s="194">
        <v>0</v>
      </c>
      <c r="E70" s="194"/>
      <c r="F70" s="194">
        <v>0</v>
      </c>
    </row>
    <row r="71" spans="1:6" x14ac:dyDescent="0.3">
      <c r="A71" s="275" t="s">
        <v>3812</v>
      </c>
      <c r="B71" s="275" t="s">
        <v>904</v>
      </c>
      <c r="C71" s="194">
        <v>0</v>
      </c>
      <c r="D71" s="194">
        <v>0</v>
      </c>
      <c r="E71" s="194"/>
      <c r="F71" s="194">
        <v>0</v>
      </c>
    </row>
    <row r="72" spans="1:6" x14ac:dyDescent="0.3">
      <c r="A72" s="275" t="s">
        <v>3813</v>
      </c>
      <c r="B72" s="275" t="s">
        <v>906</v>
      </c>
      <c r="C72" s="194">
        <v>0</v>
      </c>
      <c r="D72" s="194">
        <v>0</v>
      </c>
      <c r="E72" s="194"/>
      <c r="F72" s="194">
        <v>0</v>
      </c>
    </row>
    <row r="73" spans="1:6" x14ac:dyDescent="0.3">
      <c r="A73" s="275" t="s">
        <v>3814</v>
      </c>
      <c r="B73" s="275" t="s">
        <v>908</v>
      </c>
      <c r="C73" s="194">
        <v>0</v>
      </c>
      <c r="D73" s="194">
        <v>0</v>
      </c>
      <c r="E73" s="194"/>
      <c r="F73" s="194">
        <v>0</v>
      </c>
    </row>
    <row r="74" spans="1:6" x14ac:dyDescent="0.3">
      <c r="A74" s="275" t="s">
        <v>3815</v>
      </c>
      <c r="B74" s="275" t="s">
        <v>910</v>
      </c>
      <c r="C74" s="194">
        <v>0</v>
      </c>
      <c r="D74" s="194">
        <v>0</v>
      </c>
      <c r="E74" s="194"/>
      <c r="F74" s="194">
        <v>0</v>
      </c>
    </row>
    <row r="75" spans="1:6" x14ac:dyDescent="0.3">
      <c r="A75" s="275" t="s">
        <v>3816</v>
      </c>
      <c r="B75" s="275" t="s">
        <v>163</v>
      </c>
      <c r="C75" s="196">
        <v>100</v>
      </c>
      <c r="D75" s="196">
        <v>0</v>
      </c>
      <c r="E75" s="196"/>
      <c r="F75" s="196">
        <v>100</v>
      </c>
    </row>
    <row r="76" spans="1:6" x14ac:dyDescent="0.3">
      <c r="A76" s="275" t="s">
        <v>3817</v>
      </c>
      <c r="B76" s="275" t="s">
        <v>913</v>
      </c>
      <c r="C76" s="194">
        <v>0</v>
      </c>
      <c r="D76" s="194">
        <v>0</v>
      </c>
      <c r="E76" s="194"/>
      <c r="F76" s="194">
        <v>0</v>
      </c>
    </row>
    <row r="77" spans="1:6" x14ac:dyDescent="0.3">
      <c r="A77" s="275" t="s">
        <v>3818</v>
      </c>
      <c r="B77" s="275" t="s">
        <v>915</v>
      </c>
      <c r="C77" s="194">
        <v>0</v>
      </c>
      <c r="D77" s="194">
        <v>0</v>
      </c>
      <c r="E77" s="194"/>
      <c r="F77" s="194">
        <v>0</v>
      </c>
    </row>
    <row r="78" spans="1:6" x14ac:dyDescent="0.3">
      <c r="A78" s="275" t="s">
        <v>3819</v>
      </c>
      <c r="B78" s="275" t="s">
        <v>917</v>
      </c>
      <c r="C78" s="194">
        <v>0</v>
      </c>
      <c r="D78" s="194">
        <v>0</v>
      </c>
      <c r="E78" s="194"/>
      <c r="F78" s="194">
        <v>0</v>
      </c>
    </row>
    <row r="79" spans="1:6" x14ac:dyDescent="0.3">
      <c r="A79" s="275" t="s">
        <v>3820</v>
      </c>
      <c r="B79" s="275" t="s">
        <v>919</v>
      </c>
      <c r="C79" s="194">
        <v>0</v>
      </c>
      <c r="D79" s="194">
        <v>0</v>
      </c>
      <c r="E79" s="194"/>
      <c r="F79" s="194">
        <v>0</v>
      </c>
    </row>
    <row r="80" spans="1:6" x14ac:dyDescent="0.3">
      <c r="A80" s="275" t="s">
        <v>3821</v>
      </c>
      <c r="B80" s="275" t="s">
        <v>921</v>
      </c>
      <c r="C80" s="194">
        <v>0</v>
      </c>
      <c r="D80" s="194">
        <v>0</v>
      </c>
      <c r="E80" s="194"/>
      <c r="F80" s="194">
        <v>0</v>
      </c>
    </row>
    <row r="81" spans="1:6" x14ac:dyDescent="0.3">
      <c r="A81" s="275" t="s">
        <v>3822</v>
      </c>
      <c r="B81" s="275" t="s">
        <v>923</v>
      </c>
      <c r="C81" s="194">
        <v>0</v>
      </c>
      <c r="D81" s="194">
        <v>0</v>
      </c>
      <c r="E81" s="194"/>
      <c r="F81" s="194">
        <v>0</v>
      </c>
    </row>
    <row r="82" spans="1:6" x14ac:dyDescent="0.3">
      <c r="A82" s="275" t="s">
        <v>3823</v>
      </c>
      <c r="B82" s="275" t="s">
        <v>925</v>
      </c>
      <c r="C82" s="194">
        <v>0</v>
      </c>
      <c r="D82" s="194">
        <v>0</v>
      </c>
      <c r="E82" s="194"/>
      <c r="F82" s="194">
        <v>0</v>
      </c>
    </row>
    <row r="83" spans="1:6" x14ac:dyDescent="0.3">
      <c r="A83" s="275" t="s">
        <v>3824</v>
      </c>
      <c r="B83" s="275" t="s">
        <v>927</v>
      </c>
      <c r="C83" s="194">
        <v>0</v>
      </c>
      <c r="D83" s="194">
        <v>0</v>
      </c>
      <c r="E83" s="194"/>
      <c r="F83" s="194">
        <v>0</v>
      </c>
    </row>
    <row r="84" spans="1:6" x14ac:dyDescent="0.3">
      <c r="A84" s="275" t="s">
        <v>3825</v>
      </c>
      <c r="B84" s="275" t="s">
        <v>929</v>
      </c>
      <c r="C84" s="194">
        <v>0</v>
      </c>
      <c r="D84" s="194">
        <v>0</v>
      </c>
      <c r="E84" s="194"/>
      <c r="F84" s="194">
        <v>0</v>
      </c>
    </row>
    <row r="85" spans="1:6" x14ac:dyDescent="0.3">
      <c r="A85" s="275" t="s">
        <v>3826</v>
      </c>
      <c r="B85" s="275" t="s">
        <v>931</v>
      </c>
      <c r="C85" s="194">
        <v>0</v>
      </c>
      <c r="D85" s="194">
        <v>0</v>
      </c>
      <c r="E85" s="194"/>
      <c r="F85" s="194">
        <v>0</v>
      </c>
    </row>
    <row r="86" spans="1:6" x14ac:dyDescent="0.3">
      <c r="A86" s="275" t="s">
        <v>3827</v>
      </c>
      <c r="B86" s="275" t="s">
        <v>933</v>
      </c>
      <c r="C86" s="194">
        <v>0</v>
      </c>
      <c r="D86" s="194">
        <v>0</v>
      </c>
      <c r="E86" s="194"/>
      <c r="F86" s="194">
        <v>0</v>
      </c>
    </row>
    <row r="87" spans="1:6" x14ac:dyDescent="0.3">
      <c r="A87" s="275" t="s">
        <v>3828</v>
      </c>
      <c r="B87" s="275" t="s">
        <v>935</v>
      </c>
      <c r="C87" s="194">
        <v>0</v>
      </c>
      <c r="D87" s="194">
        <v>0</v>
      </c>
      <c r="E87" s="194"/>
      <c r="F87" s="194">
        <v>0</v>
      </c>
    </row>
    <row r="88" spans="1:6" x14ac:dyDescent="0.3">
      <c r="A88" s="275" t="s">
        <v>3829</v>
      </c>
      <c r="B88" s="275" t="s">
        <v>937</v>
      </c>
      <c r="C88" s="194">
        <v>0</v>
      </c>
      <c r="D88" s="194">
        <v>0</v>
      </c>
      <c r="E88" s="194"/>
      <c r="F88" s="194">
        <v>0</v>
      </c>
    </row>
    <row r="89" spans="1:6" x14ac:dyDescent="0.3">
      <c r="A89" s="275" t="s">
        <v>3830</v>
      </c>
      <c r="B89" s="275" t="s">
        <v>939</v>
      </c>
      <c r="C89" s="194">
        <v>0</v>
      </c>
      <c r="D89" s="194">
        <v>0</v>
      </c>
      <c r="E89" s="194"/>
      <c r="F89" s="194">
        <v>0</v>
      </c>
    </row>
    <row r="90" spans="1:6" x14ac:dyDescent="0.3">
      <c r="A90" s="275" t="s">
        <v>3831</v>
      </c>
      <c r="B90" s="275" t="s">
        <v>941</v>
      </c>
      <c r="C90" s="194">
        <v>0</v>
      </c>
      <c r="D90" s="194">
        <v>0</v>
      </c>
      <c r="E90" s="194"/>
      <c r="F90" s="194">
        <v>0</v>
      </c>
    </row>
    <row r="91" spans="1:6" x14ac:dyDescent="0.3">
      <c r="A91" s="275" t="s">
        <v>3832</v>
      </c>
      <c r="B91" s="275" t="s">
        <v>943</v>
      </c>
      <c r="C91" s="194">
        <v>0</v>
      </c>
      <c r="D91" s="194">
        <v>0</v>
      </c>
      <c r="E91" s="194"/>
      <c r="F91" s="194">
        <v>0</v>
      </c>
    </row>
    <row r="92" spans="1:6" x14ac:dyDescent="0.3">
      <c r="A92" s="275" t="s">
        <v>3833</v>
      </c>
      <c r="B92" s="275" t="s">
        <v>945</v>
      </c>
      <c r="C92" s="194">
        <v>0</v>
      </c>
      <c r="D92" s="194">
        <v>0</v>
      </c>
      <c r="E92" s="194"/>
      <c r="F92" s="194">
        <v>0</v>
      </c>
    </row>
    <row r="93" spans="1:6" x14ac:dyDescent="0.3">
      <c r="A93" s="275" t="s">
        <v>3834</v>
      </c>
      <c r="B93" s="326" t="s">
        <v>564</v>
      </c>
      <c r="C93" s="328">
        <v>0</v>
      </c>
      <c r="D93" s="328">
        <v>0</v>
      </c>
      <c r="E93" s="328"/>
      <c r="F93" s="328">
        <v>0</v>
      </c>
    </row>
    <row r="94" spans="1:6" x14ac:dyDescent="0.3">
      <c r="A94" s="275" t="s">
        <v>3835</v>
      </c>
      <c r="B94" s="275" t="s">
        <v>948</v>
      </c>
      <c r="C94" s="194">
        <v>0</v>
      </c>
      <c r="D94" s="194">
        <v>0</v>
      </c>
      <c r="E94" s="194"/>
      <c r="F94" s="194">
        <v>0</v>
      </c>
    </row>
    <row r="95" spans="1:6" x14ac:dyDescent="0.3">
      <c r="A95" s="275" t="s">
        <v>3836</v>
      </c>
      <c r="B95" s="275" t="s">
        <v>950</v>
      </c>
      <c r="C95" s="194">
        <v>0</v>
      </c>
      <c r="D95" s="194">
        <v>0</v>
      </c>
      <c r="E95" s="194"/>
      <c r="F95" s="194">
        <v>0</v>
      </c>
    </row>
    <row r="96" spans="1:6" x14ac:dyDescent="0.3">
      <c r="A96" s="275" t="s">
        <v>3837</v>
      </c>
      <c r="B96" s="275" t="s">
        <v>952</v>
      </c>
      <c r="C96" s="194">
        <v>0</v>
      </c>
      <c r="D96" s="194">
        <v>0</v>
      </c>
      <c r="E96" s="194"/>
      <c r="F96" s="194">
        <v>0</v>
      </c>
    </row>
    <row r="97" spans="1:6" x14ac:dyDescent="0.3">
      <c r="A97" s="275" t="s">
        <v>3838</v>
      </c>
      <c r="B97" s="326" t="s">
        <v>350</v>
      </c>
      <c r="C97" s="328">
        <v>0</v>
      </c>
      <c r="D97" s="328">
        <v>0</v>
      </c>
      <c r="E97" s="328"/>
      <c r="F97" s="328">
        <v>0</v>
      </c>
    </row>
    <row r="98" spans="1:6" x14ac:dyDescent="0.3">
      <c r="A98" s="275" t="s">
        <v>3839</v>
      </c>
      <c r="B98" s="290" t="s">
        <v>567</v>
      </c>
      <c r="C98" s="194">
        <v>0</v>
      </c>
      <c r="D98" s="194">
        <v>0</v>
      </c>
      <c r="E98" s="194"/>
      <c r="F98" s="194">
        <v>0</v>
      </c>
    </row>
    <row r="99" spans="1:6" x14ac:dyDescent="0.3">
      <c r="A99" s="275" t="s">
        <v>3840</v>
      </c>
      <c r="B99" s="275" t="s">
        <v>570</v>
      </c>
      <c r="C99" s="194">
        <v>0</v>
      </c>
      <c r="D99" s="194">
        <v>0</v>
      </c>
      <c r="E99" s="194"/>
      <c r="F99" s="194">
        <v>0</v>
      </c>
    </row>
    <row r="100" spans="1:6" x14ac:dyDescent="0.3">
      <c r="A100" s="275" t="s">
        <v>3841</v>
      </c>
      <c r="B100" s="290" t="s">
        <v>573</v>
      </c>
      <c r="C100" s="194">
        <v>0</v>
      </c>
      <c r="D100" s="194">
        <v>0</v>
      </c>
      <c r="E100" s="194"/>
      <c r="F100" s="194">
        <v>0</v>
      </c>
    </row>
    <row r="101" spans="1:6" x14ac:dyDescent="0.3">
      <c r="A101" s="275" t="s">
        <v>3842</v>
      </c>
      <c r="B101" s="290" t="s">
        <v>576</v>
      </c>
      <c r="C101" s="194">
        <v>0</v>
      </c>
      <c r="D101" s="194">
        <v>0</v>
      </c>
      <c r="E101" s="194"/>
      <c r="F101" s="194">
        <v>0</v>
      </c>
    </row>
    <row r="102" spans="1:6" x14ac:dyDescent="0.3">
      <c r="A102" s="275" t="s">
        <v>3843</v>
      </c>
      <c r="B102" s="290" t="s">
        <v>579</v>
      </c>
      <c r="C102" s="194">
        <v>0</v>
      </c>
      <c r="D102" s="194">
        <v>0</v>
      </c>
      <c r="E102" s="194"/>
      <c r="F102" s="194">
        <v>0</v>
      </c>
    </row>
    <row r="103" spans="1:6" x14ac:dyDescent="0.3">
      <c r="A103" s="275" t="s">
        <v>3844</v>
      </c>
      <c r="B103" s="290" t="s">
        <v>583</v>
      </c>
      <c r="C103" s="194">
        <v>0</v>
      </c>
      <c r="D103" s="194">
        <v>0</v>
      </c>
      <c r="E103" s="194"/>
      <c r="F103" s="194">
        <v>0</v>
      </c>
    </row>
    <row r="104" spans="1:6" x14ac:dyDescent="0.3">
      <c r="A104" s="275" t="s">
        <v>3845</v>
      </c>
      <c r="B104" s="290" t="s">
        <v>587</v>
      </c>
      <c r="C104" s="194">
        <v>0</v>
      </c>
      <c r="D104" s="194">
        <v>0</v>
      </c>
      <c r="E104" s="194"/>
      <c r="F104" s="194">
        <v>0</v>
      </c>
    </row>
    <row r="105" spans="1:6" x14ac:dyDescent="0.3">
      <c r="A105" s="275" t="s">
        <v>3846</v>
      </c>
      <c r="B105" s="290" t="s">
        <v>591</v>
      </c>
      <c r="C105" s="194">
        <v>0</v>
      </c>
      <c r="D105" s="194">
        <v>0</v>
      </c>
      <c r="E105" s="194"/>
      <c r="F105" s="194">
        <v>0</v>
      </c>
    </row>
    <row r="106" spans="1:6" x14ac:dyDescent="0.3">
      <c r="A106" s="275" t="s">
        <v>3847</v>
      </c>
      <c r="B106" s="290" t="s">
        <v>593</v>
      </c>
      <c r="C106" s="194">
        <v>0</v>
      </c>
      <c r="D106" s="194">
        <v>0</v>
      </c>
      <c r="E106" s="194"/>
      <c r="F106" s="194">
        <v>0</v>
      </c>
    </row>
    <row r="107" spans="1:6" x14ac:dyDescent="0.3">
      <c r="A107" s="275" t="s">
        <v>3848</v>
      </c>
      <c r="B107" s="290" t="s">
        <v>595</v>
      </c>
      <c r="C107" s="194">
        <v>0</v>
      </c>
      <c r="D107" s="194">
        <v>0</v>
      </c>
      <c r="E107" s="194"/>
      <c r="F107" s="194">
        <v>0</v>
      </c>
    </row>
    <row r="108" spans="1:6" x14ac:dyDescent="0.3">
      <c r="A108" s="275" t="s">
        <v>3849</v>
      </c>
      <c r="B108" s="290" t="s">
        <v>350</v>
      </c>
      <c r="C108" s="194">
        <v>0</v>
      </c>
      <c r="D108" s="194">
        <v>0</v>
      </c>
      <c r="E108" s="194"/>
      <c r="F108" s="194">
        <v>0</v>
      </c>
    </row>
    <row r="109" spans="1:6" x14ac:dyDescent="0.3">
      <c r="A109" s="275" t="s">
        <v>3850</v>
      </c>
      <c r="B109" s="227" t="s">
        <v>354</v>
      </c>
      <c r="C109" s="194"/>
      <c r="D109" s="194"/>
      <c r="E109" s="194"/>
      <c r="F109" s="194"/>
    </row>
    <row r="110" spans="1:6" x14ac:dyDescent="0.3">
      <c r="A110" s="275" t="s">
        <v>3851</v>
      </c>
      <c r="B110" s="227" t="s">
        <v>354</v>
      </c>
      <c r="C110" s="194"/>
      <c r="D110" s="194"/>
      <c r="E110" s="194"/>
      <c r="F110" s="194"/>
    </row>
    <row r="111" spans="1:6" x14ac:dyDescent="0.3">
      <c r="A111" s="275" t="s">
        <v>3852</v>
      </c>
      <c r="B111" s="227" t="s">
        <v>354</v>
      </c>
      <c r="C111" s="194"/>
      <c r="D111" s="194"/>
      <c r="E111" s="194"/>
      <c r="F111" s="194"/>
    </row>
    <row r="112" spans="1:6" x14ac:dyDescent="0.3">
      <c r="A112" s="275" t="s">
        <v>3853</v>
      </c>
      <c r="B112" s="227" t="s">
        <v>354</v>
      </c>
      <c r="C112" s="194"/>
      <c r="D112" s="194"/>
      <c r="E112" s="194"/>
      <c r="F112" s="194"/>
    </row>
    <row r="113" spans="1:7" x14ac:dyDescent="0.3">
      <c r="A113" s="275" t="s">
        <v>3854</v>
      </c>
      <c r="B113" s="227" t="s">
        <v>354</v>
      </c>
      <c r="C113" s="194"/>
      <c r="D113" s="194"/>
      <c r="E113" s="194"/>
      <c r="F113" s="194"/>
    </row>
    <row r="114" spans="1:7" x14ac:dyDescent="0.3">
      <c r="A114" s="275" t="s">
        <v>3855</v>
      </c>
      <c r="B114" s="227" t="s">
        <v>354</v>
      </c>
      <c r="C114" s="194"/>
      <c r="D114" s="194"/>
      <c r="E114" s="194"/>
      <c r="F114" s="194"/>
    </row>
    <row r="115" spans="1:7" x14ac:dyDescent="0.3">
      <c r="A115" s="275" t="s">
        <v>3856</v>
      </c>
      <c r="B115" s="227" t="s">
        <v>354</v>
      </c>
      <c r="C115" s="194"/>
      <c r="D115" s="194"/>
      <c r="E115" s="194"/>
      <c r="F115" s="194"/>
    </row>
    <row r="116" spans="1:7" x14ac:dyDescent="0.3">
      <c r="A116" s="275" t="s">
        <v>3857</v>
      </c>
      <c r="B116" s="227" t="s">
        <v>354</v>
      </c>
      <c r="C116" s="194"/>
      <c r="D116" s="194"/>
      <c r="E116" s="194"/>
      <c r="F116" s="194"/>
    </row>
    <row r="117" spans="1:7" x14ac:dyDescent="0.3">
      <c r="A117" s="275" t="s">
        <v>3858</v>
      </c>
      <c r="B117" s="227" t="s">
        <v>354</v>
      </c>
      <c r="C117" s="194"/>
      <c r="D117" s="194"/>
      <c r="E117" s="194"/>
      <c r="F117" s="194"/>
    </row>
    <row r="118" spans="1:7" x14ac:dyDescent="0.3">
      <c r="A118" s="275" t="s">
        <v>3859</v>
      </c>
      <c r="B118" s="227" t="s">
        <v>354</v>
      </c>
      <c r="C118" s="194"/>
      <c r="D118" s="194"/>
      <c r="E118" s="194"/>
      <c r="F118" s="194"/>
    </row>
    <row r="119" spans="1:7" x14ac:dyDescent="0.3">
      <c r="A119" s="289"/>
      <c r="B119" s="289" t="s">
        <v>975</v>
      </c>
      <c r="C119" s="289" t="s">
        <v>879</v>
      </c>
      <c r="D119" s="289" t="s">
        <v>880</v>
      </c>
      <c r="E119" s="289"/>
      <c r="F119" s="289" t="s">
        <v>843</v>
      </c>
      <c r="G119" s="289"/>
    </row>
    <row r="120" spans="1:7" x14ac:dyDescent="0.3">
      <c r="A120" s="275" t="s">
        <v>3860</v>
      </c>
      <c r="B120" s="194" t="s">
        <v>977</v>
      </c>
      <c r="C120" s="198" cm="1">
        <f t="array" ref="C120">IFERROR((SUMPRODUCT((Cube!$A$2:$A$10001="GREEN")*(Cube!$B$2:$B$10001="Geographic Distribution")*(Cube!$C$2:$C$10001=TEXT(G120,"00"))*(Cube!$E$2:$E$10001)))/(SUMPRODUCT((Cube!$A$2:$A$10001="GREEN")*(Cube!$B$2:$B$10001="Summary")*(Cube!$C$2:$C$10001="MTKRDC")*(Cube!$E$2:$E$10001))),"")</f>
        <v>0.16233628088690719</v>
      </c>
      <c r="D120" s="198">
        <v>0</v>
      </c>
      <c r="F120" s="198">
        <f t="shared" ref="F120:F133" si="0">C120</f>
        <v>0.16233628088690719</v>
      </c>
      <c r="G120" s="199">
        <v>84</v>
      </c>
    </row>
    <row r="121" spans="1:7" x14ac:dyDescent="0.3">
      <c r="A121" s="275" t="s">
        <v>3861</v>
      </c>
      <c r="B121" s="194" t="s">
        <v>979</v>
      </c>
      <c r="C121" s="198" cm="1">
        <f t="array" ref="C121">IFERROR((SUMPRODUCT((Cube!$A$2:$A$10001="GREEN")*(Cube!$B$2:$B$10001="Geographic Distribution")*(Cube!$C$2:$C$10001=TEXT(G121,"00"))*(Cube!$E$2:$E$10001)))/(SUMPRODUCT((Cube!$A$2:$A$10001="GREEN")*(Cube!$B$2:$B$10001="Summary")*(Cube!$C$2:$C$10001="MTKRDC")*(Cube!$E$2:$E$10001))),"")</f>
        <v>3.9371100357670018E-2</v>
      </c>
      <c r="D121" s="198">
        <v>0</v>
      </c>
      <c r="F121" s="198">
        <f t="shared" si="0"/>
        <v>3.9371100357670018E-2</v>
      </c>
      <c r="G121" s="199">
        <v>27</v>
      </c>
    </row>
    <row r="122" spans="1:7" x14ac:dyDescent="0.3">
      <c r="A122" s="275" t="s">
        <v>3862</v>
      </c>
      <c r="B122" s="194" t="s">
        <v>981</v>
      </c>
      <c r="C122" s="198" cm="1">
        <f t="array" ref="C122">IFERROR((SUMPRODUCT((Cube!$A$2:$A$10001="GREEN")*(Cube!$B$2:$B$10001="Geographic Distribution")*(Cube!$C$2:$C$10001=TEXT(G122,"00"))*(Cube!$E$2:$E$10001)))/(SUMPRODUCT((Cube!$A$2:$A$10001="GREEN")*(Cube!$B$2:$B$10001="Summary")*(Cube!$C$2:$C$10001="MTKRDC")*(Cube!$E$2:$E$10001))),"")</f>
        <v>4.9327394026458464E-2</v>
      </c>
      <c r="D122" s="198">
        <v>0</v>
      </c>
      <c r="F122" s="198">
        <f t="shared" si="0"/>
        <v>4.9327394026458464E-2</v>
      </c>
      <c r="G122" s="199">
        <v>53</v>
      </c>
    </row>
    <row r="123" spans="1:7" x14ac:dyDescent="0.3">
      <c r="A123" s="275" t="s">
        <v>3863</v>
      </c>
      <c r="B123" s="194" t="s">
        <v>983</v>
      </c>
      <c r="C123" s="198" cm="1">
        <f t="array" ref="C123">IFERROR((SUMPRODUCT((Cube!$A$2:$A$10001="GREEN")*(Cube!$B$2:$B$10001="Geographic Distribution")*(Cube!$C$2:$C$10001=TEXT(G123,"00"))*(Cube!$E$2:$E$10001)))/(SUMPRODUCT((Cube!$A$2:$A$10001="GREEN")*(Cube!$B$2:$B$10001="Summary")*(Cube!$C$2:$C$10001="MTKRDC")*(Cube!$E$2:$E$10001))),"")</f>
        <v>3.1552908382624652E-2</v>
      </c>
      <c r="D123" s="198">
        <v>0</v>
      </c>
      <c r="F123" s="198">
        <f t="shared" si="0"/>
        <v>3.1552908382624652E-2</v>
      </c>
      <c r="G123" s="199">
        <v>24</v>
      </c>
    </row>
    <row r="124" spans="1:7" x14ac:dyDescent="0.3">
      <c r="A124" s="275" t="s">
        <v>3864</v>
      </c>
      <c r="B124" s="194" t="s">
        <v>985</v>
      </c>
      <c r="C124" s="198" cm="1">
        <f t="array" ref="C124">IFERROR((SUMPRODUCT((Cube!$A$2:$A$10001="GREEN")*(Cube!$B$2:$B$10001="Geographic Distribution")*(Cube!$C$2:$C$10001=TEXT(G124,"00"))*(Cube!$E$2:$E$10001)))/(SUMPRODUCT((Cube!$A$2:$A$10001="GREEN")*(Cube!$B$2:$B$10001="Summary")*(Cube!$C$2:$C$10001="MTKRDC")*(Cube!$E$2:$E$10001))),"")</f>
        <v>1.2200986590419518E-2</v>
      </c>
      <c r="D124" s="198">
        <v>0</v>
      </c>
      <c r="F124" s="198">
        <f t="shared" si="0"/>
        <v>1.2200986590419518E-2</v>
      </c>
      <c r="G124" s="199">
        <v>94</v>
      </c>
    </row>
    <row r="125" spans="1:7" x14ac:dyDescent="0.3">
      <c r="A125" s="275" t="s">
        <v>3865</v>
      </c>
      <c r="B125" s="194" t="s">
        <v>987</v>
      </c>
      <c r="C125" s="198" cm="1">
        <f t="array" ref="C125">IFERROR((SUMPRODUCT((Cube!$A$2:$A$10001="GREEN")*(Cube!$B$2:$B$10001="Geographic Distribution")*(Cube!$C$2:$C$10001=TEXT(G125,"00"))*(Cube!$E$2:$E$10001)))/(SUMPRODUCT((Cube!$A$2:$A$10001="GREEN")*(Cube!$B$2:$B$10001="Summary")*(Cube!$C$2:$C$10001="MTKRDC")*(Cube!$E$2:$E$10001))),"")</f>
        <v>7.770912008010486E-2</v>
      </c>
      <c r="D125" s="198">
        <v>0</v>
      </c>
      <c r="F125" s="198">
        <f t="shared" si="0"/>
        <v>7.770912008010486E-2</v>
      </c>
      <c r="G125" s="199">
        <v>44</v>
      </c>
    </row>
    <row r="126" spans="1:7" x14ac:dyDescent="0.3">
      <c r="A126" s="275" t="s">
        <v>3866</v>
      </c>
      <c r="B126" s="194" t="s">
        <v>989</v>
      </c>
      <c r="C126" s="198" cm="1">
        <f t="array" ref="C126">IFERROR((SUMPRODUCT((Cube!$A$2:$A$10001="GREEN")*(Cube!$B$2:$B$10001="Geographic Distribution")*(Cube!$C$2:$C$10001=TEXT(G126,"00"))*(Cube!$E$2:$E$10001)))/(SUMPRODUCT((Cube!$A$2:$A$10001="GREEN")*(Cube!$B$2:$B$10001="Summary")*(Cube!$C$2:$C$10001="MTKRDC")*(Cube!$E$2:$E$10001))),"")</f>
        <v>5.5714107331757169E-2</v>
      </c>
      <c r="D126" s="198">
        <v>0</v>
      </c>
      <c r="F126" s="198">
        <f t="shared" si="0"/>
        <v>5.5714107331757169E-2</v>
      </c>
      <c r="G126" s="199">
        <v>32</v>
      </c>
    </row>
    <row r="127" spans="1:7" x14ac:dyDescent="0.3">
      <c r="A127" s="275" t="s">
        <v>3867</v>
      </c>
      <c r="B127" s="194" t="s">
        <v>991</v>
      </c>
      <c r="C127" s="198" cm="1">
        <f t="array" ref="C127">IFERROR((SUMPRODUCT((Cube!$A$2:$A$10001="GREEN")*(Cube!$B$2:$B$10001="Geographic Distribution")*(Cube!$C$2:$C$10001=TEXT(G127,"00"))*(Cube!$E$2:$E$10001)))/(SUMPRODUCT((Cube!$A$2:$A$10001="GREEN")*(Cube!$B$2:$B$10001="Summary")*(Cube!$C$2:$C$10001="MTKRDC")*(Cube!$E$2:$E$10001))),"")</f>
        <v>0.13736260593797425</v>
      </c>
      <c r="D127" s="198">
        <v>0</v>
      </c>
      <c r="F127" s="198">
        <f t="shared" si="0"/>
        <v>0.13736260593797425</v>
      </c>
      <c r="G127" s="199">
        <v>11</v>
      </c>
    </row>
    <row r="128" spans="1:7" x14ac:dyDescent="0.3">
      <c r="A128" s="275" t="s">
        <v>3868</v>
      </c>
      <c r="B128" s="194" t="s">
        <v>993</v>
      </c>
      <c r="C128" s="198" cm="1">
        <f t="array" ref="C128">IFERROR((SUMPRODUCT((Cube!$A$2:$A$10001="GREEN")*(Cube!$B$2:$B$10001="Geographic Distribution")*(Cube!$C$2:$C$10001=TEXT(G128,"00"))*(Cube!$E$2:$E$10001)))/(SUMPRODUCT((Cube!$A$2:$A$10001="GREEN")*(Cube!$B$2:$B$10001="Summary")*(Cube!$C$2:$C$10001="MTKRDC")*(Cube!$E$2:$E$10001))),"")</f>
        <v>3.0814128337538393E-2</v>
      </c>
      <c r="D128" s="198">
        <v>0</v>
      </c>
      <c r="F128" s="198">
        <f t="shared" si="0"/>
        <v>3.0814128337538393E-2</v>
      </c>
      <c r="G128" s="199">
        <v>28</v>
      </c>
    </row>
    <row r="129" spans="1:7" x14ac:dyDescent="0.3">
      <c r="A129" s="275" t="s">
        <v>3869</v>
      </c>
      <c r="B129" s="194" t="s">
        <v>995</v>
      </c>
      <c r="C129" s="198" cm="1">
        <f t="array" ref="C129">IFERROR((SUMPRODUCT((Cube!$A$2:$A$10001="GREEN")*(Cube!$B$2:$B$10001="Geographic Distribution")*(Cube!$C$2:$C$10001=TEXT(G129,"00"))*(Cube!$E$2:$E$10001)))/(SUMPRODUCT((Cube!$A$2:$A$10001="GREEN")*(Cube!$B$2:$B$10001="Summary")*(Cube!$C$2:$C$10001="MTKRDC")*(Cube!$E$2:$E$10001))),"")</f>
        <v>0.10297390412897137</v>
      </c>
      <c r="D129" s="198">
        <v>0</v>
      </c>
      <c r="F129" s="198">
        <f t="shared" si="0"/>
        <v>0.10297390412897137</v>
      </c>
      <c r="G129" s="199">
        <v>75</v>
      </c>
    </row>
    <row r="130" spans="1:7" x14ac:dyDescent="0.3">
      <c r="A130" s="275" t="s">
        <v>3870</v>
      </c>
      <c r="B130" s="194" t="s">
        <v>997</v>
      </c>
      <c r="C130" s="198" cm="1">
        <f t="array" ref="C130">IFERROR((SUMPRODUCT((Cube!$A$2:$A$10001="GREEN")*(Cube!$B$2:$B$10001="Geographic Distribution")*(Cube!$C$2:$C$10001=TEXT(G130,"00"))*(Cube!$E$2:$E$10001)))/(SUMPRODUCT((Cube!$A$2:$A$10001="GREEN")*(Cube!$B$2:$B$10001="Summary")*(Cube!$C$2:$C$10001="MTKRDC")*(Cube!$E$2:$E$10001))),"")</f>
        <v>0.13843153310933823</v>
      </c>
      <c r="D130" s="198">
        <v>0</v>
      </c>
      <c r="F130" s="198">
        <f t="shared" si="0"/>
        <v>0.13843153310933823</v>
      </c>
      <c r="G130" s="199">
        <v>76</v>
      </c>
    </row>
    <row r="131" spans="1:7" x14ac:dyDescent="0.3">
      <c r="A131" s="275" t="s">
        <v>3871</v>
      </c>
      <c r="B131" s="194" t="s">
        <v>999</v>
      </c>
      <c r="C131" s="198" cm="1">
        <f t="array" ref="C131">IFERROR((SUMPRODUCT((Cube!$A$2:$A$10001="GREEN")*(Cube!$B$2:$B$10001="Geographic Distribution")*(Cube!$C$2:$C$10001=TEXT(G131,"00"))*(Cube!$E$2:$E$10001)))/(SUMPRODUCT((Cube!$A$2:$A$10001="GREEN")*(Cube!$B$2:$B$10001="Summary")*(Cube!$C$2:$C$10001="MTKRDC")*(Cube!$E$2:$E$10001))),"")</f>
        <v>0</v>
      </c>
      <c r="D131" s="198">
        <v>0</v>
      </c>
      <c r="F131" s="198">
        <f t="shared" si="0"/>
        <v>0</v>
      </c>
      <c r="G131" s="199" t="s">
        <v>1000</v>
      </c>
    </row>
    <row r="132" spans="1:7" x14ac:dyDescent="0.3">
      <c r="A132" s="275" t="s">
        <v>3872</v>
      </c>
      <c r="B132" s="194" t="s">
        <v>1002</v>
      </c>
      <c r="C132" s="198" cm="1">
        <f t="array" ref="C132">IFERROR((SUMPRODUCT((Cube!$A$2:$A$10001="GREEN")*(Cube!$B$2:$B$10001="Geographic Distribution")*(Cube!$C$2:$C$10001=TEXT(G132,"00"))*(Cube!$E$2:$E$10001)))/(SUMPRODUCT((Cube!$A$2:$A$10001="GREEN")*(Cube!$B$2:$B$10001="Summary")*(Cube!$C$2:$C$10001="MTKRDC")*(Cube!$E$2:$E$10001))),"")</f>
        <v>6.0580750015198991E-2</v>
      </c>
      <c r="D132" s="198">
        <v>0</v>
      </c>
      <c r="F132" s="198">
        <f t="shared" si="0"/>
        <v>6.0580750015198991E-2</v>
      </c>
      <c r="G132" s="199">
        <v>52</v>
      </c>
    </row>
    <row r="133" spans="1:7" x14ac:dyDescent="0.3">
      <c r="A133" s="275" t="s">
        <v>3873</v>
      </c>
      <c r="B133" s="194" t="s">
        <v>1004</v>
      </c>
      <c r="C133" s="198" cm="1">
        <f t="array" ref="C133">IFERROR((SUMPRODUCT((Cube!$A$2:$A$10001="GREEN")*(Cube!$B$2:$B$10001="Geographic Distribution")*(Cube!$C$2:$C$10001=TEXT(G133,"00"))*(Cube!$E$2:$E$10001)))/(SUMPRODUCT((Cube!$A$2:$A$10001="GREEN")*(Cube!$B$2:$B$10001="Summary")*(Cube!$C$2:$C$10001="MTKRDC")*(Cube!$E$2:$E$10001))),"")</f>
        <v>0.10162518081503688</v>
      </c>
      <c r="D133" s="198">
        <v>0</v>
      </c>
      <c r="F133" s="198">
        <f t="shared" si="0"/>
        <v>0.10162518081503688</v>
      </c>
      <c r="G133" s="199">
        <v>93</v>
      </c>
    </row>
    <row r="134" spans="1:7" x14ac:dyDescent="0.3">
      <c r="A134" s="275" t="s">
        <v>3874</v>
      </c>
      <c r="C134" s="198" cm="1">
        <f t="array" ref="C134">IFERROR((SUMPRODUCT((Cube!$A$2:$A$10001="GREEN")*(Cube!$B$2:$B$10001="Geographic Distribution")*(Cube!$C$2:$C$10001=TEXT(G134,"00"))*(Cube!$E$2:$E$10001)))/(SUMPRODUCT((Cube!$A$2:$A$10001="GREEN")*(Cube!$B$2:$B$10001="Summary")*(Cube!$C$2:$C$10001="MTKRDC")*(Cube!$E$2:$E$10001))),"")</f>
        <v>0</v>
      </c>
      <c r="D134" s="198"/>
      <c r="F134" s="198"/>
      <c r="G134" s="199"/>
    </row>
    <row r="135" spans="1:7" x14ac:dyDescent="0.3">
      <c r="A135" s="275" t="s">
        <v>3875</v>
      </c>
      <c r="B135" s="194" t="s">
        <v>1007</v>
      </c>
      <c r="C135" s="198" cm="1">
        <f t="array" ref="C135">IFERROR((SUMPRODUCT((Cube!$A$2:$A$10001="GREEN")*(Cube!$B$2:$B$10001="Geographic Distribution")*(Cube!$C$2:$C$10001=TEXT(G135,"00"))*(Cube!$E$2:$E$10001)))/(SUMPRODUCT((Cube!$A$2:$A$10001="GREEN")*(Cube!$B$2:$B$10001="Summary")*(Cube!$C$2:$C$10001="MTKRDC")*(Cube!$E$2:$E$10001))),"")</f>
        <v>0</v>
      </c>
      <c r="D135" s="198"/>
      <c r="F135" s="198">
        <f>C135</f>
        <v>0</v>
      </c>
      <c r="G135" s="199"/>
    </row>
    <row r="136" spans="1:7" x14ac:dyDescent="0.3">
      <c r="A136" s="275" t="s">
        <v>3876</v>
      </c>
      <c r="B136" s="194" t="s">
        <v>1009</v>
      </c>
      <c r="C136" s="198" cm="1">
        <f t="array" ref="C136">IFERROR((SUMPRODUCT((Cube!$A$2:$A$10001="GREEN")*(Cube!$B$2:$B$10001="Geographic Distribution")*(Cube!$C$2:$C$10001=TEXT(G136,"00"))*(Cube!$E$2:$E$10001)))/(SUMPRODUCT((Cube!$A$2:$A$10001="GREEN")*(Cube!$B$2:$B$10001="Summary")*(Cube!$C$2:$C$10001="MTKRDC")*(Cube!$E$2:$E$10001))),"")</f>
        <v>0</v>
      </c>
      <c r="D136" s="198">
        <v>0</v>
      </c>
      <c r="F136" s="198">
        <f>C136</f>
        <v>0</v>
      </c>
      <c r="G136" s="199" t="s">
        <v>1010</v>
      </c>
    </row>
    <row r="137" spans="1:7" x14ac:dyDescent="0.3">
      <c r="A137" s="275" t="s">
        <v>3877</v>
      </c>
    </row>
    <row r="138" spans="1:7" x14ac:dyDescent="0.3">
      <c r="A138" s="275" t="s">
        <v>3878</v>
      </c>
    </row>
    <row r="139" spans="1:7" x14ac:dyDescent="0.3">
      <c r="A139" s="275" t="s">
        <v>3879</v>
      </c>
    </row>
    <row r="140" spans="1:7" x14ac:dyDescent="0.3">
      <c r="A140" s="275" t="s">
        <v>3880</v>
      </c>
    </row>
    <row r="141" spans="1:7" x14ac:dyDescent="0.3">
      <c r="A141" s="275" t="s">
        <v>3881</v>
      </c>
    </row>
    <row r="142" spans="1:7" x14ac:dyDescent="0.3">
      <c r="A142" s="275" t="s">
        <v>3882</v>
      </c>
    </row>
    <row r="143" spans="1:7" x14ac:dyDescent="0.3">
      <c r="A143" s="275" t="s">
        <v>3883</v>
      </c>
    </row>
    <row r="144" spans="1:7" x14ac:dyDescent="0.3">
      <c r="A144" s="275" t="s">
        <v>3884</v>
      </c>
    </row>
    <row r="145" spans="1:1" x14ac:dyDescent="0.3">
      <c r="A145" s="275" t="s">
        <v>3885</v>
      </c>
    </row>
    <row r="146" spans="1:1" x14ac:dyDescent="0.3">
      <c r="A146" s="275" t="s">
        <v>3886</v>
      </c>
    </row>
    <row r="147" spans="1:1" x14ac:dyDescent="0.3">
      <c r="A147" s="275" t="s">
        <v>3887</v>
      </c>
    </row>
    <row r="148" spans="1:1" x14ac:dyDescent="0.3">
      <c r="A148" s="275" t="s">
        <v>3888</v>
      </c>
    </row>
    <row r="149" spans="1:1" x14ac:dyDescent="0.3">
      <c r="A149" s="275" t="s">
        <v>3889</v>
      </c>
    </row>
    <row r="150" spans="1:1" x14ac:dyDescent="0.3">
      <c r="A150" s="275" t="s">
        <v>3890</v>
      </c>
    </row>
    <row r="151" spans="1:1" x14ac:dyDescent="0.3">
      <c r="A151" s="275" t="s">
        <v>3891</v>
      </c>
    </row>
    <row r="152" spans="1:1" x14ac:dyDescent="0.3">
      <c r="A152" s="275" t="s">
        <v>3892</v>
      </c>
    </row>
    <row r="153" spans="1:1" x14ac:dyDescent="0.3">
      <c r="A153" s="275" t="s">
        <v>3893</v>
      </c>
    </row>
    <row r="154" spans="1:1" x14ac:dyDescent="0.3">
      <c r="A154" s="275" t="s">
        <v>3894</v>
      </c>
    </row>
    <row r="155" spans="1:1" x14ac:dyDescent="0.3">
      <c r="A155" s="275" t="s">
        <v>3895</v>
      </c>
    </row>
    <row r="156" spans="1:1" x14ac:dyDescent="0.3">
      <c r="A156" s="275" t="s">
        <v>3896</v>
      </c>
    </row>
    <row r="157" spans="1:1" x14ac:dyDescent="0.3">
      <c r="A157" s="275" t="s">
        <v>3897</v>
      </c>
    </row>
    <row r="158" spans="1:1" x14ac:dyDescent="0.3">
      <c r="A158" s="275" t="s">
        <v>3898</v>
      </c>
    </row>
    <row r="159" spans="1:1" x14ac:dyDescent="0.3">
      <c r="A159" s="275" t="s">
        <v>3899</v>
      </c>
    </row>
    <row r="160" spans="1:1" x14ac:dyDescent="0.3">
      <c r="A160" s="275" t="s">
        <v>3900</v>
      </c>
    </row>
    <row r="161" spans="1:7" x14ac:dyDescent="0.3">
      <c r="A161" s="275" t="s">
        <v>3901</v>
      </c>
    </row>
    <row r="162" spans="1:7" x14ac:dyDescent="0.3">
      <c r="A162" s="275" t="s">
        <v>3902</v>
      </c>
    </row>
    <row r="163" spans="1:7" x14ac:dyDescent="0.3">
      <c r="A163" s="275" t="s">
        <v>3903</v>
      </c>
    </row>
    <row r="164" spans="1:7" x14ac:dyDescent="0.3">
      <c r="A164" s="275" t="s">
        <v>3904</v>
      </c>
    </row>
    <row r="165" spans="1:7" x14ac:dyDescent="0.3">
      <c r="A165" s="275" t="s">
        <v>3905</v>
      </c>
    </row>
    <row r="166" spans="1:7" x14ac:dyDescent="0.3">
      <c r="A166" s="275" t="s">
        <v>3906</v>
      </c>
    </row>
    <row r="167" spans="1:7" x14ac:dyDescent="0.3">
      <c r="A167" s="275" t="s">
        <v>3907</v>
      </c>
    </row>
    <row r="168" spans="1:7" x14ac:dyDescent="0.3">
      <c r="A168" s="275" t="s">
        <v>3908</v>
      </c>
    </row>
    <row r="169" spans="1:7" x14ac:dyDescent="0.3">
      <c r="A169" s="275" t="s">
        <v>3909</v>
      </c>
    </row>
    <row r="170" spans="1:7" x14ac:dyDescent="0.3">
      <c r="A170" s="289"/>
      <c r="B170" s="289" t="s">
        <v>1044</v>
      </c>
      <c r="C170" s="289" t="s">
        <v>879</v>
      </c>
      <c r="D170" s="289" t="s">
        <v>880</v>
      </c>
      <c r="E170" s="289"/>
      <c r="F170" s="289" t="s">
        <v>843</v>
      </c>
      <c r="G170" s="289"/>
    </row>
    <row r="171" spans="1:7" x14ac:dyDescent="0.3">
      <c r="A171" s="275" t="s">
        <v>3910</v>
      </c>
      <c r="B171" s="275" t="s">
        <v>1046</v>
      </c>
      <c r="C171" s="198" cm="1">
        <f t="array" ref="C171">IFERROR((SUMPRODUCT((Cube!$A$2:$A$10001="GREEN")*(Cube!$B$2:$B$10001="Interest Rate Type")*(Cube!$C$2:$C$10001="FIX_5")*(Cube!$E$2:$E$10001)))/(SUMPRODUCT((Cube!$A$2:$A$10001="GREEN")*(Cube!$B$2:$B$10001="Summary")*(Cube!$C$2:$C$10001="MTKRDC")*(Cube!$E$2:$E$10001))),"")</f>
        <v>1</v>
      </c>
      <c r="D171" s="200">
        <v>0</v>
      </c>
      <c r="F171" s="198">
        <f>C171</f>
        <v>1</v>
      </c>
    </row>
    <row r="172" spans="1:7" x14ac:dyDescent="0.3">
      <c r="A172" s="275" t="s">
        <v>3911</v>
      </c>
      <c r="B172" s="275" t="s">
        <v>1048</v>
      </c>
      <c r="C172" s="198" cm="1">
        <f t="array" ref="C172">IFERROR((SUMPRODUCT((Cube!$A$2:$A$10001="GREEN")*(Cube!$B$2:$B$10001="Interest Rate Type")*(Cube!$C$2:$C$10001="VAR")*(Cube!$E$2:$E$10001)))/(SUMPRODUCT((Cube!$A$2:$A$10001="GREEN")*(Cube!$B$2:$B$10001="Summary")*(Cube!$C$2:$C$10001="MTKRDC")*(Cube!$E$2:$E$10001))),"")</f>
        <v>0</v>
      </c>
      <c r="D172" s="200">
        <v>0</v>
      </c>
      <c r="F172" s="198">
        <f>C172</f>
        <v>0</v>
      </c>
    </row>
    <row r="173" spans="1:7" x14ac:dyDescent="0.3">
      <c r="A173" s="275" t="s">
        <v>3912</v>
      </c>
      <c r="B173" s="275" t="s">
        <v>350</v>
      </c>
      <c r="C173" s="198">
        <f>IFERROR(100%-C172-C171,"")</f>
        <v>0</v>
      </c>
      <c r="D173" s="200">
        <v>0</v>
      </c>
      <c r="F173" s="198">
        <f>C173</f>
        <v>0</v>
      </c>
    </row>
    <row r="174" spans="1:7" x14ac:dyDescent="0.3">
      <c r="A174" s="275" t="s">
        <v>3913</v>
      </c>
      <c r="B174" s="230"/>
    </row>
    <row r="175" spans="1:7" x14ac:dyDescent="0.3">
      <c r="A175" s="275" t="s">
        <v>3914</v>
      </c>
      <c r="B175" s="230"/>
    </row>
    <row r="176" spans="1:7" x14ac:dyDescent="0.3">
      <c r="A176" s="275" t="s">
        <v>3915</v>
      </c>
      <c r="B176" s="230"/>
    </row>
    <row r="177" spans="1:8" x14ac:dyDescent="0.3">
      <c r="A177" s="275" t="s">
        <v>3916</v>
      </c>
      <c r="B177" s="230"/>
    </row>
    <row r="178" spans="1:8" x14ac:dyDescent="0.3">
      <c r="A178" s="275" t="s">
        <v>3917</v>
      </c>
      <c r="B178" s="230"/>
    </row>
    <row r="179" spans="1:8" x14ac:dyDescent="0.3">
      <c r="A179" s="275" t="s">
        <v>3918</v>
      </c>
      <c r="B179" s="230"/>
    </row>
    <row r="180" spans="1:8" x14ac:dyDescent="0.3">
      <c r="A180" s="289"/>
      <c r="B180" s="289" t="s">
        <v>1056</v>
      </c>
      <c r="C180" s="289" t="s">
        <v>879</v>
      </c>
      <c r="D180" s="289" t="s">
        <v>880</v>
      </c>
      <c r="E180" s="289"/>
      <c r="F180" s="289" t="s">
        <v>843</v>
      </c>
      <c r="G180" s="289"/>
    </row>
    <row r="181" spans="1:8" x14ac:dyDescent="0.3">
      <c r="A181" s="275" t="s">
        <v>3919</v>
      </c>
      <c r="B181" s="275" t="s">
        <v>1058</v>
      </c>
      <c r="C181" s="198">
        <v>0</v>
      </c>
      <c r="D181" s="200">
        <v>0</v>
      </c>
      <c r="F181" s="198">
        <f>C181</f>
        <v>0</v>
      </c>
    </row>
    <row r="182" spans="1:8" x14ac:dyDescent="0.3">
      <c r="A182" s="275" t="s">
        <v>3920</v>
      </c>
      <c r="B182" s="275" t="s">
        <v>1060</v>
      </c>
      <c r="C182" s="198">
        <v>1</v>
      </c>
      <c r="D182" s="200">
        <v>0</v>
      </c>
      <c r="F182" s="198">
        <f>C182</f>
        <v>1</v>
      </c>
    </row>
    <row r="183" spans="1:8" x14ac:dyDescent="0.3">
      <c r="A183" s="275" t="s">
        <v>3921</v>
      </c>
      <c r="B183" s="275" t="s">
        <v>350</v>
      </c>
      <c r="C183" s="198">
        <v>0</v>
      </c>
      <c r="D183" s="200">
        <v>0</v>
      </c>
      <c r="F183" s="198">
        <f>C183</f>
        <v>0</v>
      </c>
    </row>
    <row r="184" spans="1:8" x14ac:dyDescent="0.3">
      <c r="A184" s="275" t="s">
        <v>3922</v>
      </c>
      <c r="B184" s="230"/>
    </row>
    <row r="185" spans="1:8" x14ac:dyDescent="0.3">
      <c r="A185" s="275" t="s">
        <v>3923</v>
      </c>
      <c r="B185" s="230"/>
    </row>
    <row r="186" spans="1:8" x14ac:dyDescent="0.3">
      <c r="A186" s="275" t="s">
        <v>3924</v>
      </c>
      <c r="B186" s="230"/>
    </row>
    <row r="187" spans="1:8" x14ac:dyDescent="0.3">
      <c r="A187" s="275" t="s">
        <v>3925</v>
      </c>
      <c r="B187" s="230"/>
    </row>
    <row r="188" spans="1:8" x14ac:dyDescent="0.3">
      <c r="A188" s="275" t="s">
        <v>3926</v>
      </c>
      <c r="B188" s="230"/>
    </row>
    <row r="189" spans="1:8" x14ac:dyDescent="0.3">
      <c r="A189" s="275" t="s">
        <v>3927</v>
      </c>
      <c r="B189" s="230"/>
    </row>
    <row r="190" spans="1:8" x14ac:dyDescent="0.3">
      <c r="A190" s="289"/>
      <c r="B190" s="289" t="s">
        <v>1068</v>
      </c>
      <c r="C190" s="289" t="s">
        <v>879</v>
      </c>
      <c r="D190" s="289" t="s">
        <v>880</v>
      </c>
      <c r="E190" s="289"/>
      <c r="F190" s="289" t="s">
        <v>843</v>
      </c>
      <c r="G190" s="289"/>
    </row>
    <row r="191" spans="1:8" x14ac:dyDescent="0.3">
      <c r="A191" s="275" t="s">
        <v>3928</v>
      </c>
      <c r="B191" s="299" t="s">
        <v>1070</v>
      </c>
      <c r="C191" s="198" cm="1">
        <f t="array" ref="C191">IFERROR(SUMPRODUCT((Cube!$A$2:$A$10000="GREEN")*(Cube!$B$2:$B$10000="Seasoning")*(Cube!$C$2:$C$10000=H191)*(Cube!$E$2:$E$10000)) / SUMPRODUCT((Cube!$A$2:$A$10000="GREEN")*(Cube!$B$2:$B$10000="Summary")*(Cube!$C$2:$C$10000="MTKRDC")*(Cube!$E$2:$E$10000)),"")</f>
        <v>3.4429898167099571E-2</v>
      </c>
      <c r="D191" s="200">
        <v>0</v>
      </c>
      <c r="F191" s="198">
        <f>C191</f>
        <v>3.4429898167099571E-2</v>
      </c>
      <c r="H191" s="9" t="s">
        <v>475</v>
      </c>
    </row>
    <row r="192" spans="1:8" x14ac:dyDescent="0.3">
      <c r="A192" s="275" t="s">
        <v>3929</v>
      </c>
      <c r="B192" s="299" t="s">
        <v>1072</v>
      </c>
      <c r="C192" s="198" cm="1">
        <f t="array" ref="C192">IFERROR(SUMPRODUCT((Cube!$A$2:$A$10000="GREEN")*(Cube!$B$2:$B$10000="Seasoning")*(Cube!$C$2:$C$10000=H192)*(Cube!$E$2:$E$10000)) / SUMPRODUCT((Cube!$A$2:$A$10000="GREEN")*(Cube!$B$2:$B$10000="Summary")*(Cube!$C$2:$C$10000="MTKRDC")*(Cube!$E$2:$E$10000)),"")</f>
        <v>7.7014332726257115E-2</v>
      </c>
      <c r="D192" s="200">
        <v>0</v>
      </c>
      <c r="F192" s="198">
        <f>C192</f>
        <v>7.7014332726257115E-2</v>
      </c>
      <c r="H192" s="9" t="s">
        <v>477</v>
      </c>
    </row>
    <row r="193" spans="1:8" x14ac:dyDescent="0.3">
      <c r="A193" s="275" t="s">
        <v>3930</v>
      </c>
      <c r="B193" s="299" t="s">
        <v>1074</v>
      </c>
      <c r="C193" s="198" cm="1">
        <f t="array" ref="C193">IFERROR(SUMPRODUCT((Cube!$A$2:$A$10000="GREEN")*(Cube!$B$2:$B$10000="Seasoning")*(Cube!$C$2:$C$10000=H193)*(Cube!$E$2:$E$10000)) / SUMPRODUCT((Cube!$A$2:$A$10000="GREEN")*(Cube!$B$2:$B$10000="Summary")*(Cube!$C$2:$C$10000="MTKRDC")*(Cube!$E$2:$E$10000)),"")</f>
        <v>0.10946911277109325</v>
      </c>
      <c r="D193" s="200">
        <v>0</v>
      </c>
      <c r="F193" s="198">
        <f>C193</f>
        <v>0.10946911277109325</v>
      </c>
      <c r="H193" s="9" t="s">
        <v>479</v>
      </c>
    </row>
    <row r="194" spans="1:8" x14ac:dyDescent="0.3">
      <c r="A194" s="275" t="s">
        <v>3931</v>
      </c>
      <c r="B194" s="299" t="s">
        <v>1076</v>
      </c>
      <c r="C194" s="198" cm="1">
        <f t="array" ref="C194">IFERROR(SUMPRODUCT((Cube!$A$2:$A$10000="GREEN")*(Cube!$B$2:$B$10000="Seasoning")*(Cube!$C$2:$C$10000=H194)*(Cube!$E$2:$E$10000)) / SUMPRODUCT((Cube!$A$2:$A$10000="GREEN")*(Cube!$B$2:$B$10000="Summary")*(Cube!$C$2:$C$10000="MTKRDC")*(Cube!$E$2:$E$10000)),"")</f>
        <v>0.3806189371216766</v>
      </c>
      <c r="D194" s="200">
        <v>0</v>
      </c>
      <c r="F194" s="198">
        <f>C194</f>
        <v>0.3806189371216766</v>
      </c>
      <c r="H194" s="9" t="s">
        <v>481</v>
      </c>
    </row>
    <row r="195" spans="1:8" x14ac:dyDescent="0.3">
      <c r="A195" s="275" t="s">
        <v>3932</v>
      </c>
      <c r="B195" s="299" t="s">
        <v>1078</v>
      </c>
      <c r="C195" s="198" cm="1">
        <f t="array" ref="C195">IFERROR(SUMPRODUCT((Cube!$A$2:$A$10000="GREEN")*(Cube!$B$2:$B$10000="Seasoning")*(Cube!$C$2:$C$10000=H195)*(Cube!$E$2:$E$10000)) / SUMPRODUCT((Cube!$A$2:$A$10000="GREEN")*(Cube!$B$2:$B$10000="Summary")*(Cube!$C$2:$C$10000="MTKRDC")*(Cube!$E$2:$E$10000)),"")</f>
        <v>0.39846771921387342</v>
      </c>
      <c r="D195" s="200">
        <v>0</v>
      </c>
      <c r="F195" s="198">
        <f>C195</f>
        <v>0.39846771921387342</v>
      </c>
      <c r="H195" s="9" t="s">
        <v>483</v>
      </c>
    </row>
    <row r="196" spans="1:8" x14ac:dyDescent="0.3">
      <c r="A196" s="275" t="s">
        <v>3933</v>
      </c>
      <c r="B196" s="231"/>
    </row>
    <row r="197" spans="1:8" x14ac:dyDescent="0.3">
      <c r="A197" s="275" t="s">
        <v>3934</v>
      </c>
      <c r="B197" s="231"/>
    </row>
    <row r="198" spans="1:8" x14ac:dyDescent="0.3">
      <c r="A198" s="275" t="s">
        <v>3935</v>
      </c>
      <c r="B198" s="542"/>
    </row>
    <row r="199" spans="1:8" x14ac:dyDescent="0.3">
      <c r="A199" s="275" t="s">
        <v>3936</v>
      </c>
      <c r="B199" s="542"/>
    </row>
    <row r="200" spans="1:8" x14ac:dyDescent="0.3">
      <c r="A200" s="289"/>
      <c r="B200" s="289" t="s">
        <v>1083</v>
      </c>
      <c r="C200" s="289" t="s">
        <v>879</v>
      </c>
      <c r="D200" s="289" t="s">
        <v>880</v>
      </c>
      <c r="E200" s="289"/>
      <c r="F200" s="289" t="s">
        <v>843</v>
      </c>
      <c r="G200" s="289"/>
    </row>
    <row r="201" spans="1:8" x14ac:dyDescent="0.3">
      <c r="A201" s="275" t="s">
        <v>3937</v>
      </c>
      <c r="B201" s="275" t="s">
        <v>1085</v>
      </c>
      <c r="C201" s="200">
        <v>0</v>
      </c>
      <c r="D201" s="200">
        <v>0</v>
      </c>
      <c r="E201" s="200"/>
      <c r="F201" s="198">
        <f>C201</f>
        <v>0</v>
      </c>
    </row>
    <row r="202" spans="1:8" x14ac:dyDescent="0.3">
      <c r="A202" s="275" t="s">
        <v>3938</v>
      </c>
      <c r="B202" s="543" t="s">
        <v>3939</v>
      </c>
      <c r="C202" s="200">
        <v>0</v>
      </c>
      <c r="D202" s="200">
        <v>0</v>
      </c>
      <c r="E202" s="200"/>
      <c r="F202" s="198">
        <f>C202</f>
        <v>0</v>
      </c>
    </row>
    <row r="203" spans="1:8" x14ac:dyDescent="0.3">
      <c r="A203" s="275" t="s">
        <v>3940</v>
      </c>
      <c r="B203" s="544"/>
    </row>
    <row r="204" spans="1:8" x14ac:dyDescent="0.3">
      <c r="A204" s="275" t="s">
        <v>3941</v>
      </c>
      <c r="B204" s="544"/>
    </row>
    <row r="205" spans="1:8" x14ac:dyDescent="0.3">
      <c r="A205" s="275" t="s">
        <v>3942</v>
      </c>
      <c r="B205" s="544"/>
    </row>
    <row r="206" spans="1:8" x14ac:dyDescent="0.3">
      <c r="A206" s="275" t="s">
        <v>3943</v>
      </c>
      <c r="B206" s="232"/>
    </row>
    <row r="207" spans="1:8" x14ac:dyDescent="0.3">
      <c r="A207" s="275" t="s">
        <v>3944</v>
      </c>
      <c r="B207" s="232"/>
    </row>
    <row r="208" spans="1:8" x14ac:dyDescent="0.3">
      <c r="A208" s="275" t="s">
        <v>3945</v>
      </c>
      <c r="B208" s="232"/>
    </row>
    <row r="209" spans="1:8" ht="18.75" customHeight="1" x14ac:dyDescent="0.3">
      <c r="A209" s="332"/>
      <c r="B209" s="545" t="s">
        <v>3946</v>
      </c>
      <c r="C209" s="332"/>
      <c r="D209" s="332"/>
      <c r="E209" s="332"/>
      <c r="F209" s="332"/>
      <c r="G209" s="332"/>
    </row>
    <row r="210" spans="1:8" x14ac:dyDescent="0.3">
      <c r="A210" s="289"/>
      <c r="B210" s="289" t="s">
        <v>1091</v>
      </c>
      <c r="C210" s="289" t="s">
        <v>1092</v>
      </c>
      <c r="D210" s="289" t="s">
        <v>1093</v>
      </c>
      <c r="E210" s="289"/>
      <c r="F210" s="289" t="s">
        <v>879</v>
      </c>
      <c r="G210" s="289" t="s">
        <v>519</v>
      </c>
    </row>
    <row r="211" spans="1:8" x14ac:dyDescent="0.3">
      <c r="A211" s="275" t="s">
        <v>3947</v>
      </c>
      <c r="B211" s="290" t="s">
        <v>1095</v>
      </c>
      <c r="C211" s="201" cm="1">
        <f t="array" ref="C211">(SUMPRODUCT((Cube!$A$2:$A$9999="GREEN")*(Cube!$B$2:$B$9999="Summary")*(Cube!$C$2:$C$9999="MTKRDC")*(Cube!$I$2:$I$9999)))/1000</f>
        <v>115.94786000000001</v>
      </c>
      <c r="D211" s="202" cm="1">
        <f t="array" ref="D211">(SUMPRODUCT((Cube!$A$2:$A$9999="GREEN")*(Cube!$B$2:$B$9999="Summary")*(Cube!$C$2:$C$9999="MTKRDC")*(Cube!$D$2:$D$9999)))</f>
        <v>127339</v>
      </c>
      <c r="F211" s="198"/>
      <c r="G211" s="198"/>
    </row>
    <row r="212" spans="1:8" x14ac:dyDescent="0.3">
      <c r="F212" s="198"/>
      <c r="G212" s="198"/>
    </row>
    <row r="213" spans="1:8" x14ac:dyDescent="0.3">
      <c r="B213" s="290" t="s">
        <v>1096</v>
      </c>
      <c r="F213" s="198"/>
      <c r="G213" s="198"/>
    </row>
    <row r="214" spans="1:8" x14ac:dyDescent="0.3">
      <c r="A214" s="275" t="s">
        <v>3948</v>
      </c>
      <c r="B214" s="194" t="s">
        <v>1098</v>
      </c>
      <c r="C214" s="202" cm="1">
        <f t="array" ref="C214">SUMPRODUCT((Cube!$A$2:$A$10000="GREEN")*(Cube!$B$2:$B$10000="Breakdown by Outstanding balance")*(Cube!$C$2:$C$10000=$H214)*(Cube!$E$2:$E$10000))/1000000</f>
        <v>9454.8508544899996</v>
      </c>
      <c r="D214" s="202" cm="1">
        <f t="array" ref="D214">SUMPRODUCT((Cube!$A$2:$A$10000="GREEN")*(Cube!$B$2:$B$10000="Breakdown by Outstanding balance")*(Cube!$C$2:$C$10000=$H214)*(Cube!$D$2:$D$10000))</f>
        <v>107440</v>
      </c>
      <c r="F214" s="198">
        <f t="shared" ref="F214:G219" si="1">IFERROR(C214/C$238,"")</f>
        <v>0.64036925915292375</v>
      </c>
      <c r="G214" s="198">
        <f t="shared" si="1"/>
        <v>0.84373208522133836</v>
      </c>
      <c r="H214" s="9" t="s">
        <v>528</v>
      </c>
    </row>
    <row r="215" spans="1:8" x14ac:dyDescent="0.3">
      <c r="A215" s="275" t="s">
        <v>3949</v>
      </c>
      <c r="B215" s="194" t="s">
        <v>1100</v>
      </c>
      <c r="C215" s="202" cm="1">
        <f t="array" ref="C215">SUMPRODUCT((Cube!$A$2:$A$10000="GREEN")*(Cube!$B$2:$B$10000="Breakdown by Outstanding balance")*(Cube!$C$2:$C$10000=$H215)*(Cube!$E$2:$E$10000))/1000000</f>
        <v>4915.2741774799997</v>
      </c>
      <c r="D215" s="202" cm="1">
        <f t="array" ref="D215">SUMPRODUCT((Cube!$A$2:$A$10000="GREEN")*(Cube!$B$2:$B$10000="Breakdown by Outstanding balance")*(Cube!$C$2:$C$10000=$H215)*(Cube!$D$2:$D$10000))</f>
        <v>19006</v>
      </c>
      <c r="F215" s="198">
        <f t="shared" si="1"/>
        <v>0.33290747067380866</v>
      </c>
      <c r="G215" s="198">
        <f t="shared" si="1"/>
        <v>0.14925513786035699</v>
      </c>
      <c r="H215" s="9" t="s">
        <v>530</v>
      </c>
    </row>
    <row r="216" spans="1:8" x14ac:dyDescent="0.3">
      <c r="A216" s="275" t="s">
        <v>3950</v>
      </c>
      <c r="B216" s="194" t="s">
        <v>1102</v>
      </c>
      <c r="C216" s="202" cm="1">
        <f t="array" ref="C216">SUMPRODUCT((Cube!$A$2:$A$10000="GREEN")*(Cube!$B$2:$B$10000="Breakdown by Outstanding balance")*(Cube!$C$2:$C$10000=$H216)*(Cube!$E$2:$E$10000))/1000000</f>
        <v>394.56068544999999</v>
      </c>
      <c r="D216" s="202" cm="1">
        <f t="array" ref="D216">SUMPRODUCT((Cube!$A$2:$A$10000="GREEN")*(Cube!$B$2:$B$10000="Breakdown by Outstanding balance")*(Cube!$C$2:$C$10000=$H216)*(Cube!$D$2:$D$10000))</f>
        <v>893</v>
      </c>
      <c r="F216" s="198">
        <f t="shared" si="1"/>
        <v>2.6723270173267599E-2</v>
      </c>
      <c r="G216" s="198">
        <f t="shared" si="1"/>
        <v>7.0127769183046824E-3</v>
      </c>
      <c r="H216" s="9" t="s">
        <v>532</v>
      </c>
    </row>
    <row r="217" spans="1:8" x14ac:dyDescent="0.3">
      <c r="A217" s="275" t="s">
        <v>3951</v>
      </c>
      <c r="B217" s="194" t="s">
        <v>1104</v>
      </c>
      <c r="C217" s="202" cm="1">
        <f t="array" ref="C217">SUMPRODUCT((Cube!$A$2:$A$10000="GREEN")*(Cube!$B$2:$B$10000="Breakdown by Outstanding balance")*(Cube!$C$2:$C$10000=$H217)*(Cube!$E$2:$E$10000))/1000000</f>
        <v>0</v>
      </c>
      <c r="D217" s="202" cm="1">
        <f t="array" ref="D217">SUMPRODUCT((Cube!$A$2:$A$10000="GREEN")*(Cube!$B$2:$B$10000="Breakdown by Outstanding balance")*(Cube!$C$2:$C$10000=$H217)*(Cube!$D$2:$D$10000))</f>
        <v>0</v>
      </c>
      <c r="F217" s="198">
        <f t="shared" si="1"/>
        <v>0</v>
      </c>
      <c r="G217" s="198">
        <f t="shared" si="1"/>
        <v>0</v>
      </c>
      <c r="H217" s="9" t="s">
        <v>535</v>
      </c>
    </row>
    <row r="218" spans="1:8" x14ac:dyDescent="0.3">
      <c r="A218" s="275" t="s">
        <v>3952</v>
      </c>
      <c r="B218" s="194" t="s">
        <v>1106</v>
      </c>
      <c r="C218" s="202" cm="1">
        <f t="array" ref="C218">SUMPRODUCT((Cube!$A$2:$A$10000="GREEN")*(Cube!$B$2:$B$10000="Breakdown by Outstanding balance")*(Cube!$C$2:$C$10000=$H218)*(Cube!$E$2:$E$10000))/1000000</f>
        <v>0</v>
      </c>
      <c r="D218" s="202" cm="1">
        <f t="array" ref="D218">SUMPRODUCT((Cube!$A$2:$A$10000="GREEN")*(Cube!$B$2:$B$10000="Breakdown by Outstanding balance")*(Cube!$C$2:$C$10000=$H218)*(Cube!$D$2:$D$10000))</f>
        <v>0</v>
      </c>
      <c r="F218" s="198">
        <f t="shared" si="1"/>
        <v>0</v>
      </c>
      <c r="G218" s="198">
        <f t="shared" si="1"/>
        <v>0</v>
      </c>
      <c r="H218" s="9" t="s">
        <v>538</v>
      </c>
    </row>
    <row r="219" spans="1:8" x14ac:dyDescent="0.3">
      <c r="A219" s="275" t="s">
        <v>3953</v>
      </c>
      <c r="B219" s="194" t="s">
        <v>1108</v>
      </c>
      <c r="C219" s="202" cm="1">
        <f t="array" ref="C219">SUMPRODUCT((Cube!$A$2:$A$10000="GREEN")*(Cube!$B$2:$B$10000="Breakdown by Outstanding balance")*(Cube!$C$2:$C$10000=$H219)*(Cube!$E$2:$E$10000))/1000000</f>
        <v>0</v>
      </c>
      <c r="D219" s="202" cm="1">
        <f t="array" ref="D219">SUMPRODUCT((Cube!$A$2:$A$10000="GREEN")*(Cube!$B$2:$B$10000="Breakdown by Outstanding balance")*(Cube!$C$2:$C$10000=$H219)*(Cube!$D$2:$D$10000))</f>
        <v>0</v>
      </c>
      <c r="F219" s="198">
        <f t="shared" si="1"/>
        <v>0</v>
      </c>
      <c r="G219" s="198">
        <f t="shared" si="1"/>
        <v>0</v>
      </c>
      <c r="H219" s="9" t="s">
        <v>541</v>
      </c>
    </row>
    <row r="220" spans="1:8" x14ac:dyDescent="0.3">
      <c r="A220" s="275" t="s">
        <v>3954</v>
      </c>
      <c r="F220" s="197"/>
      <c r="G220" s="197"/>
    </row>
    <row r="221" spans="1:8" x14ac:dyDescent="0.3">
      <c r="A221" s="275" t="s">
        <v>3955</v>
      </c>
      <c r="F221" s="197"/>
      <c r="G221" s="197"/>
    </row>
    <row r="222" spans="1:8" x14ac:dyDescent="0.3">
      <c r="A222" s="275" t="s">
        <v>3956</v>
      </c>
      <c r="F222" s="197"/>
      <c r="G222" s="197"/>
    </row>
    <row r="223" spans="1:8" x14ac:dyDescent="0.3">
      <c r="A223" s="275" t="s">
        <v>3957</v>
      </c>
      <c r="F223" s="197"/>
      <c r="G223" s="197"/>
    </row>
    <row r="224" spans="1:8" x14ac:dyDescent="0.3">
      <c r="A224" s="275" t="s">
        <v>3958</v>
      </c>
      <c r="F224" s="197"/>
      <c r="G224" s="197"/>
    </row>
    <row r="225" spans="1:7" x14ac:dyDescent="0.3">
      <c r="A225" s="275" t="s">
        <v>3959</v>
      </c>
      <c r="F225" s="197"/>
      <c r="G225" s="197"/>
    </row>
    <row r="226" spans="1:7" x14ac:dyDescent="0.3">
      <c r="A226" s="275" t="s">
        <v>3960</v>
      </c>
      <c r="F226" s="197"/>
      <c r="G226" s="197"/>
    </row>
    <row r="227" spans="1:7" x14ac:dyDescent="0.3">
      <c r="A227" s="275" t="s">
        <v>3961</v>
      </c>
      <c r="F227" s="197"/>
      <c r="G227" s="197"/>
    </row>
    <row r="228" spans="1:7" x14ac:dyDescent="0.3">
      <c r="A228" s="275" t="s">
        <v>3962</v>
      </c>
      <c r="F228" s="197"/>
      <c r="G228" s="197"/>
    </row>
    <row r="229" spans="1:7" x14ac:dyDescent="0.3">
      <c r="A229" s="275" t="s">
        <v>3963</v>
      </c>
      <c r="F229" s="197"/>
      <c r="G229" s="197"/>
    </row>
    <row r="230" spans="1:7" x14ac:dyDescent="0.3">
      <c r="A230" s="275" t="s">
        <v>3964</v>
      </c>
      <c r="F230" s="197"/>
      <c r="G230" s="197"/>
    </row>
    <row r="231" spans="1:7" x14ac:dyDescent="0.3">
      <c r="A231" s="275" t="s">
        <v>3965</v>
      </c>
      <c r="F231" s="197"/>
      <c r="G231" s="197"/>
    </row>
    <row r="232" spans="1:7" x14ac:dyDescent="0.3">
      <c r="A232" s="275" t="s">
        <v>3966</v>
      </c>
      <c r="F232" s="197"/>
      <c r="G232" s="197"/>
    </row>
    <row r="233" spans="1:7" x14ac:dyDescent="0.3">
      <c r="A233" s="275" t="s">
        <v>3967</v>
      </c>
      <c r="F233" s="197"/>
      <c r="G233" s="197"/>
    </row>
    <row r="234" spans="1:7" x14ac:dyDescent="0.3">
      <c r="A234" s="275" t="s">
        <v>3968</v>
      </c>
      <c r="F234" s="197"/>
      <c r="G234" s="197"/>
    </row>
    <row r="235" spans="1:7" x14ac:dyDescent="0.3">
      <c r="A235" s="275" t="s">
        <v>3969</v>
      </c>
      <c r="F235" s="197"/>
      <c r="G235" s="197"/>
    </row>
    <row r="236" spans="1:7" x14ac:dyDescent="0.3">
      <c r="A236" s="275" t="s">
        <v>3970</v>
      </c>
      <c r="F236" s="197"/>
      <c r="G236" s="197"/>
    </row>
    <row r="237" spans="1:7" x14ac:dyDescent="0.3">
      <c r="A237" s="275" t="s">
        <v>3971</v>
      </c>
      <c r="F237" s="197"/>
      <c r="G237" s="197"/>
    </row>
    <row r="238" spans="1:7" x14ac:dyDescent="0.3">
      <c r="A238" s="275" t="s">
        <v>3972</v>
      </c>
      <c r="B238" s="546" t="s">
        <v>352</v>
      </c>
      <c r="C238" s="296">
        <f>SUM(C214:C237)</f>
        <v>14764.685717419999</v>
      </c>
      <c r="D238" s="296">
        <f>SUM(D214:D237)</f>
        <v>127339</v>
      </c>
      <c r="F238" s="302">
        <f>SUM(F214:F237)</f>
        <v>1</v>
      </c>
      <c r="G238" s="302">
        <f>SUM(G214:G237)</f>
        <v>1</v>
      </c>
    </row>
    <row r="239" spans="1:7" x14ac:dyDescent="0.3">
      <c r="A239" s="289"/>
      <c r="B239" s="289" t="s">
        <v>1128</v>
      </c>
      <c r="C239" s="289" t="s">
        <v>1092</v>
      </c>
      <c r="D239" s="289" t="s">
        <v>1093</v>
      </c>
      <c r="E239" s="289"/>
      <c r="F239" s="289" t="s">
        <v>879</v>
      </c>
      <c r="G239" s="289" t="s">
        <v>519</v>
      </c>
    </row>
    <row r="240" spans="1:7" x14ac:dyDescent="0.3">
      <c r="A240" s="275" t="s">
        <v>3973</v>
      </c>
      <c r="B240" s="275" t="s">
        <v>1130</v>
      </c>
      <c r="C240" s="198" cm="1">
        <f t="array" ref="C240">(SUMPRODUCT((Cube!$A$2:$A$9999="GREEN")*(Cube!$B$2:$C$9999="ENMTLTV")*(Cube!$H$2:$H$9999)))</f>
        <v>0.73</v>
      </c>
    </row>
    <row r="242" spans="1:9" x14ac:dyDescent="0.3">
      <c r="B242" s="290" t="s">
        <v>1131</v>
      </c>
    </row>
    <row r="243" spans="1:9" x14ac:dyDescent="0.3">
      <c r="A243" s="275" t="s">
        <v>3974</v>
      </c>
      <c r="B243" s="275" t="s">
        <v>1133</v>
      </c>
      <c r="C243" s="202" cm="1">
        <f t="array" ref="C243">(SUMPRODUCT((Cube!$A$2:$A$10001="GREEN")*(Cube!$B$2:$B$10001="Unindexed LTV Range")*(Cube!$C$2:$C$10001=$H243)*(Cube!$E$2:$E$10001)))/1000000</f>
        <v>893.61870871000008</v>
      </c>
      <c r="D243" s="202" cm="1">
        <f t="array" ref="D243">(SUMPRODUCT((Cube!$A$2:$A$10001="GREEN")*(Cube!$B$2:$B$10001="Unindexed LTV Range")*(Cube!$C$2:$C$10001=$H243)*(Cube!$D$2:$D$10001)))</f>
        <v>14201</v>
      </c>
      <c r="F243" s="198">
        <f t="shared" ref="F243:G250" si="2">IFERROR(C243/C$251,"")</f>
        <v>6.052405894801207E-2</v>
      </c>
      <c r="G243" s="198">
        <f t="shared" si="2"/>
        <v>0.11152121502446226</v>
      </c>
      <c r="H243" s="9" t="s">
        <v>565</v>
      </c>
      <c r="I243" s="9"/>
    </row>
    <row r="244" spans="1:9" x14ac:dyDescent="0.3">
      <c r="A244" s="275" t="s">
        <v>3975</v>
      </c>
      <c r="B244" s="275" t="s">
        <v>1135</v>
      </c>
      <c r="C244" s="202" cm="1">
        <f t="array" ref="C244">(SUMPRODUCT((Cube!$A$2:$A$10001="GREEN")*(Cube!$B$2:$B$10001="Unindexed LTV Range")*(Cube!$C$2:$C$10001=$H244)*(Cube!$E$2:$E$10001)))/1000000</f>
        <v>785.71229214999994</v>
      </c>
      <c r="D244" s="202" cm="1">
        <f t="array" ref="D244">(SUMPRODUCT((Cube!$A$2:$A$10001="GREEN")*(Cube!$B$2:$B$10001="Unindexed LTV Range")*(Cube!$C$2:$C$10001=$H244)*(Cube!$D$2:$D$10001)))</f>
        <v>8043</v>
      </c>
      <c r="F244" s="198">
        <f t="shared" si="2"/>
        <v>5.321564625131054E-2</v>
      </c>
      <c r="G244" s="198">
        <f t="shared" si="2"/>
        <v>6.3162110586701639E-2</v>
      </c>
      <c r="H244" s="9" t="s">
        <v>568</v>
      </c>
      <c r="I244" s="9"/>
    </row>
    <row r="245" spans="1:9" x14ac:dyDescent="0.3">
      <c r="A245" s="275" t="s">
        <v>3976</v>
      </c>
      <c r="B245" s="275" t="s">
        <v>1137</v>
      </c>
      <c r="C245" s="202" cm="1">
        <f t="array" ref="C245">(SUMPRODUCT((Cube!$A$2:$A$10001="GREEN")*(Cube!$B$2:$B$10001="Unindexed LTV Range")*(Cube!$C$2:$C$10001=$H245)*(Cube!$E$2:$E$10001)))/1000000</f>
        <v>1214.7933593299999</v>
      </c>
      <c r="D245" s="202" cm="1">
        <f t="array" ref="D245">(SUMPRODUCT((Cube!$A$2:$A$10001="GREEN")*(Cube!$B$2:$B$10001="Unindexed LTV Range")*(Cube!$C$2:$C$10001=$H245)*(Cube!$D$2:$D$10001)))</f>
        <v>11540</v>
      </c>
      <c r="F245" s="198">
        <f t="shared" si="2"/>
        <v>8.2276953440108463E-2</v>
      </c>
      <c r="G245" s="198">
        <f t="shared" si="2"/>
        <v>9.0624239235426701E-2</v>
      </c>
      <c r="H245" s="9" t="s">
        <v>571</v>
      </c>
      <c r="I245" s="9"/>
    </row>
    <row r="246" spans="1:9" x14ac:dyDescent="0.3">
      <c r="A246" s="275" t="s">
        <v>3977</v>
      </c>
      <c r="B246" s="275" t="s">
        <v>1139</v>
      </c>
      <c r="C246" s="202" cm="1">
        <f t="array" ref="C246">(SUMPRODUCT((Cube!$A$2:$A$10001="GREEN")*(Cube!$B$2:$B$10001="Unindexed LTV Range")*(Cube!$C$2:$C$10001=$H246)*(Cube!$E$2:$E$10001)))/1000000</f>
        <v>1878.6841176500002</v>
      </c>
      <c r="D246" s="202" cm="1">
        <f t="array" ref="D246">(SUMPRODUCT((Cube!$A$2:$A$10001="GREEN")*(Cube!$B$2:$B$10001="Unindexed LTV Range")*(Cube!$C$2:$C$10001=$H246)*(Cube!$D$2:$D$10001)))</f>
        <v>17871</v>
      </c>
      <c r="F246" s="198">
        <f t="shared" si="2"/>
        <v>0.12724172756575841</v>
      </c>
      <c r="G246" s="198">
        <f t="shared" si="2"/>
        <v>0.14034192195635273</v>
      </c>
      <c r="H246" s="9" t="s">
        <v>574</v>
      </c>
      <c r="I246" s="9"/>
    </row>
    <row r="247" spans="1:9" x14ac:dyDescent="0.3">
      <c r="A247" s="275" t="s">
        <v>3978</v>
      </c>
      <c r="B247" s="275" t="s">
        <v>1141</v>
      </c>
      <c r="C247" s="202" cm="1">
        <f t="array" ref="C247">(SUMPRODUCT((Cube!$A$2:$A$10001="GREEN")*(Cube!$B$2:$B$10001="Unindexed LTV Range")*(Cube!$C$2:$C$10001=$H247)*(Cube!$E$2:$E$10001)))/1000000</f>
        <v>3229.2637930100004</v>
      </c>
      <c r="D247" s="202" cm="1">
        <f t="array" ref="D247">(SUMPRODUCT((Cube!$A$2:$A$10001="GREEN")*(Cube!$B$2:$B$10001="Unindexed LTV Range")*(Cube!$C$2:$C$10001=$H247)*(Cube!$D$2:$D$10001)))</f>
        <v>30223</v>
      </c>
      <c r="F247" s="198">
        <f t="shared" si="2"/>
        <v>0.21871537632527988</v>
      </c>
      <c r="G247" s="198">
        <f t="shared" si="2"/>
        <v>0.23734284076363094</v>
      </c>
      <c r="H247" s="9" t="s">
        <v>577</v>
      </c>
      <c r="I247" s="9"/>
    </row>
    <row r="248" spans="1:9" x14ac:dyDescent="0.3">
      <c r="A248" s="275" t="s">
        <v>3979</v>
      </c>
      <c r="B248" s="275" t="s">
        <v>1143</v>
      </c>
      <c r="C248" s="202" cm="1">
        <f t="array" ref="C248">(SUMPRODUCT((Cube!$A$2:$A$10001="GREEN")*(Cube!$B$2:$B$10001="Unindexed LTV Range")*(Cube!$C$2:$C$10001=$H248)*(Cube!$E$2:$E$10001))+SUMPRODUCT((Cube!$A$2:$A$10001="GREEN")*(Cube!$B$2:$B$10001="Unindexed LTV Range")*(Cube!$C$2:$C$10001=$I248)*(Cube!$E$2:$E$10001)))/1000000</f>
        <v>4415.9000518399998</v>
      </c>
      <c r="D248" s="202" cm="1">
        <f t="array" ref="D248">(SUMPRODUCT((Cube!$A$2:$A$10001="GREEN")*(Cube!$B$2:$B$10001="Unindexed LTV Range")*(Cube!$C$2:$C$10001=$H248)*(Cube!$D$2:$D$10001))+SUMPRODUCT((Cube!$A$2:$A$10001="GREEN")*(Cube!$B$2:$B$10001="Unindexed LTV Range")*(Cube!$C$2:$C$10001=$I248)*(Cube!$D$2:$D$10001)))</f>
        <v>31945</v>
      </c>
      <c r="F248" s="198">
        <f t="shared" si="2"/>
        <v>0.29908527254528244</v>
      </c>
      <c r="G248" s="198">
        <f t="shared" si="2"/>
        <v>0.25086579916600571</v>
      </c>
      <c r="H248" s="9" t="s">
        <v>580</v>
      </c>
      <c r="I248" s="9" t="s">
        <v>581</v>
      </c>
    </row>
    <row r="249" spans="1:9" x14ac:dyDescent="0.3">
      <c r="A249" s="275" t="s">
        <v>3980</v>
      </c>
      <c r="B249" s="275" t="s">
        <v>1145</v>
      </c>
      <c r="C249" s="202" cm="1">
        <f t="array" ref="C249">(SUMPRODUCT((Cube!$A$2:$A$10001="GREEN")*(Cube!$B$2:$B$10001="Unindexed LTV Range")*(Cube!$C$2:$C$10001=$H249)*(Cube!$E$2:$E$10001))+SUMPRODUCT((Cube!$A$2:$A$10001="GREEN")*(Cube!$B$2:$B$10001="Unindexed LTV Range")*(Cube!$C$2:$C$10001=$I249)*(Cube!$E$2:$E$10001)))/1000000</f>
        <v>2346.7133947299999</v>
      </c>
      <c r="D249" s="202" cm="1">
        <f t="array" ref="D249">(SUMPRODUCT((Cube!$A$2:$A$10001="GREEN")*(Cube!$B$2:$B$10001="Unindexed LTV Range")*(Cube!$C$2:$C$10001=$H249)*(Cube!$D$2:$D$10001))+SUMPRODUCT((Cube!$A$2:$A$10001="GREEN")*(Cube!$B$2:$B$10001="Unindexed LTV Range")*(Cube!$C$2:$C$10001=$I249)*(Cube!$D$2:$D$10001)))</f>
        <v>13516</v>
      </c>
      <c r="F249" s="198">
        <f t="shared" si="2"/>
        <v>0.15894096492424814</v>
      </c>
      <c r="G249" s="198">
        <f t="shared" si="2"/>
        <v>0.10614187326742004</v>
      </c>
      <c r="H249" s="9" t="s">
        <v>584</v>
      </c>
      <c r="I249" s="9" t="s">
        <v>585</v>
      </c>
    </row>
    <row r="250" spans="1:9" x14ac:dyDescent="0.3">
      <c r="A250" s="275" t="s">
        <v>3981</v>
      </c>
      <c r="B250" s="275" t="s">
        <v>1147</v>
      </c>
      <c r="C250" s="202" cm="1">
        <f t="array" ref="C250">(SUMPRODUCT((Cube!$A$2:$A$10001="GREEN")*(Cube!$B$2:$B$10001="Unindexed LTV Range")*(Cube!$C$2:$C$10001=$H250)*(Cube!$E$2:$E$10001))+SUMPRODUCT((Cube!$A$2:$A$10001="GREEN")*(Cube!$B$2:$B$10001="Unindexed LTV Range")*(Cube!$C$2:$C$10001=$I250)*(Cube!$E$2:$E$10001)))/1000000</f>
        <v>0</v>
      </c>
      <c r="D250" s="202" cm="1">
        <f t="array" ref="D250">(SUMPRODUCT((Cube!$A$2:$A$10001="GREEN")*(Cube!$B$2:$B$10001="Unindexed LTV Range")*(Cube!$C$2:$C$10001=$H250)*(Cube!$D$2:$D$10001))+SUMPRODUCT((Cube!$A$2:$A$10001="GREEN")*(Cube!$B$2:$B$10001="Unindexed LTV Range")*(Cube!$C$2:$C$10001=$I250)*(Cube!$D$2:$D$10001)))</f>
        <v>0</v>
      </c>
      <c r="F250" s="198">
        <f t="shared" si="2"/>
        <v>0</v>
      </c>
      <c r="G250" s="198">
        <f t="shared" si="2"/>
        <v>0</v>
      </c>
      <c r="H250" s="9" t="s">
        <v>588</v>
      </c>
      <c r="I250" s="9" t="s">
        <v>589</v>
      </c>
    </row>
    <row r="251" spans="1:9" x14ac:dyDescent="0.3">
      <c r="A251" s="275" t="s">
        <v>3982</v>
      </c>
      <c r="B251" s="295" t="s">
        <v>352</v>
      </c>
      <c r="C251" s="296">
        <f>SUM(C243:C250)</f>
        <v>14764.685717420001</v>
      </c>
      <c r="D251" s="296">
        <f>SUM(D243:D250)</f>
        <v>127339</v>
      </c>
      <c r="F251" s="302">
        <f>SUM(F243:F250)</f>
        <v>1</v>
      </c>
      <c r="G251" s="302">
        <f>SUM(G243:G250)</f>
        <v>1</v>
      </c>
      <c r="H251" s="9"/>
      <c r="I251" s="9"/>
    </row>
    <row r="252" spans="1:9" x14ac:dyDescent="0.3">
      <c r="A252" s="275" t="s">
        <v>3983</v>
      </c>
      <c r="B252" s="324" t="s">
        <v>1150</v>
      </c>
    </row>
    <row r="253" spans="1:9" x14ac:dyDescent="0.3">
      <c r="A253" s="275" t="s">
        <v>3984</v>
      </c>
      <c r="B253" s="324" t="s">
        <v>1152</v>
      </c>
    </row>
    <row r="254" spans="1:9" x14ac:dyDescent="0.3">
      <c r="A254" s="275" t="s">
        <v>3985</v>
      </c>
      <c r="B254" s="324" t="s">
        <v>1154</v>
      </c>
    </row>
    <row r="255" spans="1:9" x14ac:dyDescent="0.3">
      <c r="A255" s="275" t="s">
        <v>3986</v>
      </c>
      <c r="B255" s="324" t="s">
        <v>1156</v>
      </c>
    </row>
    <row r="256" spans="1:9" x14ac:dyDescent="0.3">
      <c r="A256" s="275" t="s">
        <v>3987</v>
      </c>
      <c r="B256" s="324" t="s">
        <v>1158</v>
      </c>
    </row>
    <row r="257" spans="1:9" x14ac:dyDescent="0.3">
      <c r="A257" s="275" t="s">
        <v>3988</v>
      </c>
      <c r="B257" s="324" t="s">
        <v>1160</v>
      </c>
    </row>
    <row r="258" spans="1:9" x14ac:dyDescent="0.3">
      <c r="A258" s="275" t="s">
        <v>3989</v>
      </c>
      <c r="B258" s="233"/>
    </row>
    <row r="259" spans="1:9" x14ac:dyDescent="0.3">
      <c r="A259" s="275" t="s">
        <v>3990</v>
      </c>
      <c r="B259" s="233"/>
    </row>
    <row r="260" spans="1:9" x14ac:dyDescent="0.3">
      <c r="A260" s="275" t="s">
        <v>3991</v>
      </c>
      <c r="B260" s="233"/>
    </row>
    <row r="261" spans="1:9" x14ac:dyDescent="0.3">
      <c r="A261" s="289"/>
      <c r="B261" s="289" t="s">
        <v>1164</v>
      </c>
      <c r="C261" s="289" t="s">
        <v>1092</v>
      </c>
      <c r="D261" s="289" t="s">
        <v>1093</v>
      </c>
      <c r="E261" s="289"/>
      <c r="F261" s="289" t="s">
        <v>879</v>
      </c>
      <c r="G261" s="289" t="s">
        <v>519</v>
      </c>
    </row>
    <row r="262" spans="1:9" x14ac:dyDescent="0.3">
      <c r="A262" s="275" t="s">
        <v>3992</v>
      </c>
      <c r="B262" s="275" t="s">
        <v>1130</v>
      </c>
      <c r="C262" s="198" cm="1">
        <f t="array" ref="C262">(SUMPRODUCT((Cube!$A$2:$A$9999="GREEN")*(Cube!$B$2:$C$9999="ENLTVIND")*(Cube!$H$2:$H$9999)))</f>
        <v>0.69</v>
      </c>
    </row>
    <row r="263" spans="1:9" x14ac:dyDescent="0.3">
      <c r="A263" s="229"/>
      <c r="B263" s="229"/>
    </row>
    <row r="264" spans="1:9" x14ac:dyDescent="0.3">
      <c r="A264" s="229"/>
      <c r="B264" s="290" t="s">
        <v>1131</v>
      </c>
    </row>
    <row r="265" spans="1:9" x14ac:dyDescent="0.3">
      <c r="A265" s="275" t="s">
        <v>3993</v>
      </c>
      <c r="B265" s="275" t="s">
        <v>1133</v>
      </c>
      <c r="C265" s="202" cm="1">
        <f t="array" ref="C265">(SUMPRODUCT((Cube!$A$2:$A$10001="GREEN")*(Cube!$B$2:$B$10001="Indexed LTV Range")*(Cube!$C$2:$C$10001=$H265)*(Cube!$E$2:$E$10001)))/1000000</f>
        <v>1201.38403414</v>
      </c>
      <c r="D265" s="202" cm="1">
        <f t="array" ref="D265">(SUMPRODUCT((Cube!$A$2:$A$10001="GREEN")*(Cube!$B$2:$B$10001="indexed LTV Range")*(Cube!$C$2:$C$10001=$H265)*(Cube!$D$2:$D$10001)))</f>
        <v>18489</v>
      </c>
      <c r="F265" s="198">
        <f t="shared" ref="F265:G272" si="3">IFERROR(C265/C$273,"")</f>
        <v>8.136875089203939E-2</v>
      </c>
      <c r="G265" s="198">
        <f t="shared" si="3"/>
        <v>0.14519510911818059</v>
      </c>
      <c r="H265" s="9" t="s">
        <v>565</v>
      </c>
      <c r="I265" s="9"/>
    </row>
    <row r="266" spans="1:9" x14ac:dyDescent="0.3">
      <c r="A266" s="275" t="s">
        <v>3994</v>
      </c>
      <c r="B266" s="275" t="s">
        <v>1135</v>
      </c>
      <c r="C266" s="202" cm="1">
        <f t="array" ref="C266">(SUMPRODUCT((Cube!$A$2:$A$10001="GREEN")*(Cube!$B$2:$B$10001="Indexed LTV Range")*(Cube!$C$2:$C$10001=$H266)*(Cube!$E$2:$E$10001)))/1000000</f>
        <v>1179.6115359999999</v>
      </c>
      <c r="D266" s="202" cm="1">
        <f t="array" ref="D266">(SUMPRODUCT((Cube!$A$2:$A$10001="GREEN")*(Cube!$B$2:$B$10001="indexed LTV Range")*(Cube!$C$2:$C$10001=$H266)*(Cube!$D$2:$D$10001)))</f>
        <v>13125</v>
      </c>
      <c r="F266" s="198">
        <f t="shared" si="3"/>
        <v>7.9894117529927797E-2</v>
      </c>
      <c r="G266" s="198">
        <f t="shared" si="3"/>
        <v>0.10307132928639301</v>
      </c>
      <c r="H266" s="9" t="s">
        <v>568</v>
      </c>
      <c r="I266" s="9"/>
    </row>
    <row r="267" spans="1:9" x14ac:dyDescent="0.3">
      <c r="A267" s="275" t="s">
        <v>3995</v>
      </c>
      <c r="B267" s="275" t="s">
        <v>1137</v>
      </c>
      <c r="C267" s="202" cm="1">
        <f t="array" ref="C267">(SUMPRODUCT((Cube!$A$2:$A$10001="GREEN")*(Cube!$B$2:$B$10001="Indexed LTV Range")*(Cube!$C$2:$C$10001=$H267)*(Cube!$E$2:$E$10001)))/1000000</f>
        <v>1939.0748108099999</v>
      </c>
      <c r="D267" s="202" cm="1">
        <f t="array" ref="D267">(SUMPRODUCT((Cube!$A$2:$A$10001="GREEN")*(Cube!$B$2:$B$10001="indexed LTV Range")*(Cube!$C$2:$C$10001=$H267)*(Cube!$D$2:$D$10001)))</f>
        <v>20956</v>
      </c>
      <c r="F267" s="198">
        <f t="shared" si="3"/>
        <v>0.13133193946161667</v>
      </c>
      <c r="G267" s="198">
        <f t="shared" si="3"/>
        <v>0.16456859249719252</v>
      </c>
      <c r="H267" s="9" t="s">
        <v>571</v>
      </c>
      <c r="I267" s="9"/>
    </row>
    <row r="268" spans="1:9" x14ac:dyDescent="0.3">
      <c r="A268" s="275" t="s">
        <v>3996</v>
      </c>
      <c r="B268" s="275" t="s">
        <v>1139</v>
      </c>
      <c r="C268" s="202" cm="1">
        <f t="array" ref="C268">(SUMPRODUCT((Cube!$A$2:$A$10001="GREEN")*(Cube!$B$2:$B$10001="Indexed LTV Range")*(Cube!$C$2:$C$10001=$H268)*(Cube!$E$2:$E$10001)))/1000000</f>
        <v>2311.2006008799999</v>
      </c>
      <c r="D268" s="202" cm="1">
        <f t="array" ref="D268">(SUMPRODUCT((Cube!$A$2:$A$10001="GREEN")*(Cube!$B$2:$B$10001="indexed LTV Range")*(Cube!$C$2:$C$10001=$H268)*(Cube!$D$2:$D$10001)))</f>
        <v>20631</v>
      </c>
      <c r="F268" s="198">
        <f t="shared" si="3"/>
        <v>0.15653571265341243</v>
      </c>
      <c r="G268" s="198">
        <f t="shared" si="3"/>
        <v>0.16201635005771994</v>
      </c>
      <c r="H268" s="9" t="s">
        <v>574</v>
      </c>
      <c r="I268" s="9"/>
    </row>
    <row r="269" spans="1:9" x14ac:dyDescent="0.3">
      <c r="A269" s="275" t="s">
        <v>3997</v>
      </c>
      <c r="B269" s="275" t="s">
        <v>1141</v>
      </c>
      <c r="C269" s="202" cm="1">
        <f t="array" ref="C269">(SUMPRODUCT((Cube!$A$2:$A$10001="GREEN")*(Cube!$B$2:$B$10001="Indexed LTV Range")*(Cube!$C$2:$C$10001=$H269)*(Cube!$E$2:$E$10001)))/1000000</f>
        <v>2992.0753716199997</v>
      </c>
      <c r="D269" s="202" cm="1">
        <f t="array" ref="D269">(SUMPRODUCT((Cube!$A$2:$A$10001="GREEN")*(Cube!$B$2:$B$10001="indexed LTV Range")*(Cube!$C$2:$C$10001=$H269)*(Cube!$D$2:$D$10001)))</f>
        <v>23028</v>
      </c>
      <c r="F269" s="198">
        <f t="shared" si="3"/>
        <v>0.2026507999482727</v>
      </c>
      <c r="G269" s="198">
        <f t="shared" si="3"/>
        <v>0.18084011968053779</v>
      </c>
      <c r="H269" s="9" t="s">
        <v>577</v>
      </c>
      <c r="I269" s="9"/>
    </row>
    <row r="270" spans="1:9" x14ac:dyDescent="0.3">
      <c r="A270" s="275" t="s">
        <v>3998</v>
      </c>
      <c r="B270" s="275" t="s">
        <v>1143</v>
      </c>
      <c r="C270" s="202" cm="1">
        <f t="array" ref="C270">(SUMPRODUCT((Cube!$A$2:$A$10001="GREEN")*(Cube!$B$2:$B$10001="Indexed LTV Range")*(Cube!$C$2:$C$10001=$H270)*(Cube!$E$2:$E$10001))+SUMPRODUCT((Cube!$A$2:$A$10001="GREEN")*(Cube!$B$2:$B$10001="Indexed LTV Range")*(Cube!$C$2:$C$10001=$I270)*(Cube!$E$2:$E$10001)))/1000000</f>
        <v>3034.3696201500002</v>
      </c>
      <c r="D270" s="202" cm="1">
        <f t="array" ref="D270">(SUMPRODUCT((Cube!$A$2:$A$10001="GREEN")*(Cube!$B$2:$B$10001="indexed LTV Range")*(Cube!$C$2:$C$10001=$H270)*(Cube!$D$2:$D$10001))+SUMPRODUCT((Cube!$A$2:$A$10001="GREEN")*(Cube!$B$2:$B$10001="indexed LTV Range")*(Cube!$C$2:$C$10001=$I270)*(Cube!$D$2:$D$10001)))</f>
        <v>19461</v>
      </c>
      <c r="F270" s="198">
        <f t="shared" si="3"/>
        <v>0.20551535455779613</v>
      </c>
      <c r="G270" s="198">
        <f t="shared" si="3"/>
        <v>0.15282827727561862</v>
      </c>
      <c r="H270" s="9" t="s">
        <v>580</v>
      </c>
      <c r="I270" s="9" t="s">
        <v>581</v>
      </c>
    </row>
    <row r="271" spans="1:9" x14ac:dyDescent="0.3">
      <c r="A271" s="275" t="s">
        <v>3999</v>
      </c>
      <c r="B271" s="275" t="s">
        <v>1145</v>
      </c>
      <c r="C271" s="202" cm="1">
        <f t="array" ref="C271">(SUMPRODUCT((Cube!$A$2:$A$10001="GREEN")*(Cube!$B$2:$B$10001="Indexed LTV Range")*(Cube!$C$2:$C$10001=$H271)*(Cube!$E$2:$E$10001))+SUMPRODUCT((Cube!$A$2:$A$10001="GREEN")*(Cube!$B$2:$B$10001="Indexed LTV Range")*(Cube!$C$2:$C$10001=$I271)*(Cube!$E$2:$E$10001)))/1000000</f>
        <v>1932.31170475</v>
      </c>
      <c r="D271" s="202" cm="1">
        <f t="array" ref="D271">(SUMPRODUCT((Cube!$A$2:$A$10001="GREEN")*(Cube!$B$2:$B$10001="indexed LTV Range")*(Cube!$C$2:$C$10001=$H271)*(Cube!$D$2:$D$10001))+SUMPRODUCT((Cube!$A$2:$A$10001="GREEN")*(Cube!$B$2:$B$10001="indexed LTV Range")*(Cube!$C$2:$C$10001=$I271)*(Cube!$D$2:$D$10001)))</f>
        <v>10805</v>
      </c>
      <c r="F271" s="198">
        <f t="shared" si="3"/>
        <v>0.13087387985984536</v>
      </c>
      <c r="G271" s="198">
        <f t="shared" si="3"/>
        <v>8.4852244795388693E-2</v>
      </c>
      <c r="H271" s="9" t="s">
        <v>584</v>
      </c>
      <c r="I271" s="9" t="s">
        <v>585</v>
      </c>
    </row>
    <row r="272" spans="1:9" x14ac:dyDescent="0.3">
      <c r="A272" s="275" t="s">
        <v>4000</v>
      </c>
      <c r="B272" s="275" t="s">
        <v>1147</v>
      </c>
      <c r="C272" s="202" cm="1">
        <f t="array" ref="C272">(SUMPRODUCT((Cube!$A$2:$A$10001="GREEN")*(Cube!$B$2:$B$10001="Indexed LTV Range")*(Cube!$C$2:$C$10001=$H272)*(Cube!$E$2:$E$10001))+SUMPRODUCT((Cube!$A$2:$A$10001="GREEN")*(Cube!$B$2:$B$10001="Indexed LTV Range")*(Cube!$C$2:$C$10001=$I272)*(Cube!$E$2:$E$10001)))/1000000</f>
        <v>174.65803907</v>
      </c>
      <c r="D272" s="202" cm="1">
        <f t="array" ref="D272">(SUMPRODUCT((Cube!$A$2:$A$10001="GREEN")*(Cube!$B$2:$B$10001="indexed LTV Range")*(Cube!$C$2:$C$10001=$H272)*(Cube!$D$2:$D$10001))+SUMPRODUCT((Cube!$A$2:$A$10001="GREEN")*(Cube!$B$2:$B$10001="indexed LTV Range")*(Cube!$C$2:$C$10001=$I272)*(Cube!$D$2:$D$10001)))</f>
        <v>844</v>
      </c>
      <c r="F272" s="198">
        <f t="shared" si="3"/>
        <v>1.1829445097089405E-2</v>
      </c>
      <c r="G272" s="198">
        <f t="shared" si="3"/>
        <v>6.6279772889688152E-3</v>
      </c>
      <c r="H272" s="9" t="s">
        <v>588</v>
      </c>
      <c r="I272" s="9" t="s">
        <v>589</v>
      </c>
    </row>
    <row r="273" spans="1:7" x14ac:dyDescent="0.3">
      <c r="A273" s="275" t="s">
        <v>4001</v>
      </c>
      <c r="B273" s="295" t="s">
        <v>352</v>
      </c>
      <c r="C273" s="296">
        <f>SUM(C265:C272)</f>
        <v>14764.685717420001</v>
      </c>
      <c r="D273" s="296">
        <f>SUM(D265:D272)</f>
        <v>127339</v>
      </c>
      <c r="F273" s="302">
        <f>SUM(F265:F272)</f>
        <v>0.99999999999999978</v>
      </c>
      <c r="G273" s="302">
        <f>SUM(G265:G272)</f>
        <v>1</v>
      </c>
    </row>
    <row r="274" spans="1:7" x14ac:dyDescent="0.3">
      <c r="A274" s="275" t="s">
        <v>4002</v>
      </c>
      <c r="B274" s="324" t="s">
        <v>1150</v>
      </c>
    </row>
    <row r="275" spans="1:7" x14ac:dyDescent="0.3">
      <c r="A275" s="275" t="s">
        <v>4003</v>
      </c>
      <c r="B275" s="324" t="s">
        <v>1152</v>
      </c>
    </row>
    <row r="276" spans="1:7" x14ac:dyDescent="0.3">
      <c r="A276" s="275" t="s">
        <v>4004</v>
      </c>
      <c r="B276" s="324" t="s">
        <v>1154</v>
      </c>
    </row>
    <row r="277" spans="1:7" x14ac:dyDescent="0.3">
      <c r="A277" s="275" t="s">
        <v>4005</v>
      </c>
      <c r="B277" s="324" t="s">
        <v>1156</v>
      </c>
    </row>
    <row r="278" spans="1:7" x14ac:dyDescent="0.3">
      <c r="A278" s="275" t="s">
        <v>4006</v>
      </c>
      <c r="B278" s="324" t="s">
        <v>1158</v>
      </c>
    </row>
    <row r="279" spans="1:7" x14ac:dyDescent="0.3">
      <c r="A279" s="275" t="s">
        <v>4007</v>
      </c>
      <c r="B279" s="324" t="s">
        <v>1160</v>
      </c>
    </row>
    <row r="280" spans="1:7" x14ac:dyDescent="0.3">
      <c r="A280" s="275" t="s">
        <v>4008</v>
      </c>
      <c r="B280" s="233"/>
    </row>
    <row r="281" spans="1:7" x14ac:dyDescent="0.3">
      <c r="A281" s="275" t="s">
        <v>4009</v>
      </c>
      <c r="B281" s="233"/>
    </row>
    <row r="282" spans="1:7" x14ac:dyDescent="0.3">
      <c r="A282" s="275" t="s">
        <v>4010</v>
      </c>
      <c r="B282" s="233"/>
    </row>
    <row r="283" spans="1:7" x14ac:dyDescent="0.3">
      <c r="A283" s="289"/>
      <c r="B283" s="289" t="s">
        <v>1184</v>
      </c>
      <c r="C283" s="289" t="s">
        <v>879</v>
      </c>
      <c r="D283" s="289"/>
      <c r="E283" s="289"/>
      <c r="F283" s="289"/>
      <c r="G283" s="289"/>
    </row>
    <row r="284" spans="1:7" x14ac:dyDescent="0.3">
      <c r="A284" s="275" t="s">
        <v>4011</v>
      </c>
      <c r="B284" s="275" t="s">
        <v>1186</v>
      </c>
      <c r="C284" s="198">
        <v>1</v>
      </c>
    </row>
    <row r="285" spans="1:7" x14ac:dyDescent="0.3">
      <c r="A285" s="275" t="s">
        <v>4012</v>
      </c>
      <c r="B285" s="275" t="s">
        <v>1189</v>
      </c>
      <c r="C285" s="198">
        <v>0</v>
      </c>
    </row>
    <row r="286" spans="1:7" x14ac:dyDescent="0.3">
      <c r="A286" s="275" t="s">
        <v>4013</v>
      </c>
      <c r="B286" s="275" t="s">
        <v>1192</v>
      </c>
      <c r="C286" s="198">
        <v>0</v>
      </c>
    </row>
    <row r="287" spans="1:7" x14ac:dyDescent="0.3">
      <c r="A287" s="275" t="s">
        <v>4014</v>
      </c>
      <c r="B287" s="275" t="s">
        <v>4015</v>
      </c>
      <c r="C287" s="198">
        <v>0</v>
      </c>
    </row>
    <row r="288" spans="1:7" x14ac:dyDescent="0.3">
      <c r="A288" s="275" t="s">
        <v>4016</v>
      </c>
      <c r="B288" s="290" t="s">
        <v>1197</v>
      </c>
      <c r="C288" s="198">
        <v>0</v>
      </c>
    </row>
    <row r="289" spans="1:8" x14ac:dyDescent="0.3">
      <c r="A289" s="275" t="s">
        <v>4017</v>
      </c>
      <c r="B289" s="275" t="s">
        <v>350</v>
      </c>
      <c r="C289" s="198">
        <v>0</v>
      </c>
    </row>
    <row r="290" spans="1:8" x14ac:dyDescent="0.3">
      <c r="A290" s="275" t="s">
        <v>4018</v>
      </c>
      <c r="B290" s="324" t="s">
        <v>1200</v>
      </c>
    </row>
    <row r="291" spans="1:8" x14ac:dyDescent="0.3">
      <c r="A291" s="275" t="s">
        <v>4019</v>
      </c>
      <c r="B291" s="324" t="s">
        <v>1202</v>
      </c>
    </row>
    <row r="292" spans="1:8" x14ac:dyDescent="0.3">
      <c r="A292" s="275" t="s">
        <v>4020</v>
      </c>
      <c r="B292" s="324" t="s">
        <v>1204</v>
      </c>
    </row>
    <row r="293" spans="1:8" x14ac:dyDescent="0.3">
      <c r="A293" s="275" t="s">
        <v>4021</v>
      </c>
      <c r="B293" s="324" t="s">
        <v>1206</v>
      </c>
    </row>
    <row r="294" spans="1:8" x14ac:dyDescent="0.3">
      <c r="A294" s="275" t="s">
        <v>4022</v>
      </c>
      <c r="B294" s="227" t="s">
        <v>354</v>
      </c>
    </row>
    <row r="295" spans="1:8" x14ac:dyDescent="0.3">
      <c r="A295" s="275" t="s">
        <v>4023</v>
      </c>
      <c r="B295" s="227" t="s">
        <v>354</v>
      </c>
    </row>
    <row r="296" spans="1:8" x14ac:dyDescent="0.3">
      <c r="A296" s="275" t="s">
        <v>4024</v>
      </c>
      <c r="B296" s="227" t="s">
        <v>354</v>
      </c>
    </row>
    <row r="297" spans="1:8" x14ac:dyDescent="0.3">
      <c r="A297" s="275" t="s">
        <v>4025</v>
      </c>
      <c r="B297" s="227" t="s">
        <v>354</v>
      </c>
    </row>
    <row r="298" spans="1:8" x14ac:dyDescent="0.3">
      <c r="A298" s="275" t="s">
        <v>4026</v>
      </c>
      <c r="B298" s="227" t="s">
        <v>354</v>
      </c>
    </row>
    <row r="299" spans="1:8" x14ac:dyDescent="0.3">
      <c r="A299" s="275" t="s">
        <v>4027</v>
      </c>
      <c r="B299" s="227" t="s">
        <v>354</v>
      </c>
    </row>
    <row r="300" spans="1:8" x14ac:dyDescent="0.3">
      <c r="A300" s="289"/>
      <c r="B300" s="289" t="s">
        <v>1213</v>
      </c>
      <c r="C300" s="289" t="s">
        <v>879</v>
      </c>
      <c r="D300" s="289"/>
      <c r="E300" s="289"/>
      <c r="F300" s="289"/>
      <c r="G300" s="289"/>
    </row>
    <row r="301" spans="1:8" x14ac:dyDescent="0.3">
      <c r="A301" s="275" t="s">
        <v>4028</v>
      </c>
      <c r="B301" s="275" t="s">
        <v>1215</v>
      </c>
      <c r="C301" s="198" cm="1">
        <f t="array" ref="C301">IFERROR(SUMPRODUCT((Cube!$A$2:$A$10000="GREEN")*(Cube!$B$2:$B$10000="Loan by ranking")*(Cube!$C$2:$C$10000=H301)*(Cube!$E$2:$E$10000)) / SUMPRODUCT((Cube!$A$2:$A$10000="GREEN")*(Cube!$B$2:$B$10000="Summary")*(Cube!$C$2:$C$10000="MTKRDC")*(Cube!$E$2:$E$10000)),"")</f>
        <v>0.14653005135405264</v>
      </c>
      <c r="D301" s="9" t="s">
        <v>627</v>
      </c>
      <c r="E301" s="9" t="s">
        <v>628</v>
      </c>
      <c r="F301" s="9" t="s">
        <v>629</v>
      </c>
      <c r="H301" s="9" t="s">
        <v>630</v>
      </c>
    </row>
    <row r="302" spans="1:8" x14ac:dyDescent="0.3">
      <c r="A302" s="275" t="s">
        <v>4029</v>
      </c>
      <c r="B302" s="275" t="s">
        <v>1217</v>
      </c>
      <c r="C302" s="198" cm="1">
        <f t="array" ref="C302">IFERROR(SUMPRODUCT((Cube!$A$2:$A$10000="GREEN")*(Cube!$B$2:$B$10000="Loan by ranking")*(Cube!$C$2:$C$10000=H302)*(Cube!$E$2:$E$10000)) / SUMPRODUCT((Cube!$A$2:$A$10000="GREEN")*(Cube!$B$2:$B$10000="Summary")*(Cube!$C$2:$C$10000="MTKRDC")*(Cube!$E$2:$E$10000)),"")</f>
        <v>0.85346994864594738</v>
      </c>
      <c r="D302" s="9" t="s">
        <v>634</v>
      </c>
      <c r="E302" s="9" t="s">
        <v>635</v>
      </c>
      <c r="F302" s="9" t="s">
        <v>636</v>
      </c>
      <c r="H302" s="9" t="s">
        <v>637</v>
      </c>
    </row>
    <row r="303" spans="1:8" x14ac:dyDescent="0.3">
      <c r="A303" s="275" t="s">
        <v>4030</v>
      </c>
      <c r="B303" s="275" t="s">
        <v>350</v>
      </c>
      <c r="C303" s="198">
        <v>0</v>
      </c>
    </row>
    <row r="304" spans="1:8" x14ac:dyDescent="0.3">
      <c r="A304" s="275" t="s">
        <v>4031</v>
      </c>
      <c r="B304" s="229"/>
    </row>
    <row r="305" spans="1:7" x14ac:dyDescent="0.3">
      <c r="A305" s="275" t="s">
        <v>4032</v>
      </c>
      <c r="B305" s="229"/>
    </row>
    <row r="306" spans="1:7" x14ac:dyDescent="0.3">
      <c r="A306" s="275" t="s">
        <v>4033</v>
      </c>
      <c r="B306" s="229"/>
    </row>
    <row r="307" spans="1:7" x14ac:dyDescent="0.3">
      <c r="A307" s="289"/>
      <c r="B307" s="289" t="s">
        <v>4034</v>
      </c>
      <c r="C307" s="289" t="s">
        <v>310</v>
      </c>
      <c r="D307" s="289" t="s">
        <v>1226</v>
      </c>
      <c r="E307" s="289"/>
      <c r="F307" s="289" t="s">
        <v>879</v>
      </c>
      <c r="G307" s="289" t="s">
        <v>1227</v>
      </c>
    </row>
    <row r="308" spans="1:7" x14ac:dyDescent="0.3">
      <c r="A308" s="275" t="s">
        <v>4035</v>
      </c>
      <c r="B308" s="194" t="s">
        <v>1229</v>
      </c>
    </row>
    <row r="309" spans="1:7" x14ac:dyDescent="0.3">
      <c r="A309" s="275" t="s">
        <v>4036</v>
      </c>
      <c r="B309" s="194" t="s">
        <v>1229</v>
      </c>
    </row>
    <row r="310" spans="1:7" x14ac:dyDescent="0.3">
      <c r="A310" s="275" t="s">
        <v>4037</v>
      </c>
      <c r="B310" s="194" t="s">
        <v>1229</v>
      </c>
    </row>
    <row r="311" spans="1:7" x14ac:dyDescent="0.3">
      <c r="A311" s="275" t="s">
        <v>4038</v>
      </c>
      <c r="B311" s="194" t="s">
        <v>1229</v>
      </c>
    </row>
    <row r="312" spans="1:7" x14ac:dyDescent="0.3">
      <c r="A312" s="275" t="s">
        <v>4039</v>
      </c>
      <c r="B312" s="194" t="s">
        <v>1229</v>
      </c>
    </row>
    <row r="313" spans="1:7" x14ac:dyDescent="0.3">
      <c r="A313" s="275" t="s">
        <v>4040</v>
      </c>
      <c r="B313" s="194" t="s">
        <v>1229</v>
      </c>
    </row>
    <row r="314" spans="1:7" x14ac:dyDescent="0.3">
      <c r="A314" s="275" t="s">
        <v>4041</v>
      </c>
      <c r="B314" s="194" t="s">
        <v>1229</v>
      </c>
    </row>
    <row r="315" spans="1:7" x14ac:dyDescent="0.3">
      <c r="A315" s="275" t="s">
        <v>4042</v>
      </c>
      <c r="B315" s="194" t="s">
        <v>1229</v>
      </c>
    </row>
    <row r="316" spans="1:7" x14ac:dyDescent="0.3">
      <c r="A316" s="275" t="s">
        <v>4043</v>
      </c>
      <c r="B316" s="194" t="s">
        <v>1229</v>
      </c>
    </row>
    <row r="317" spans="1:7" x14ac:dyDescent="0.3">
      <c r="A317" s="275" t="s">
        <v>4044</v>
      </c>
      <c r="B317" s="194" t="s">
        <v>1229</v>
      </c>
    </row>
    <row r="318" spans="1:7" x14ac:dyDescent="0.3">
      <c r="A318" s="275" t="s">
        <v>4045</v>
      </c>
      <c r="B318" s="194" t="s">
        <v>1229</v>
      </c>
    </row>
    <row r="319" spans="1:7" x14ac:dyDescent="0.3">
      <c r="A319" s="275" t="s">
        <v>4046</v>
      </c>
      <c r="B319" s="194" t="s">
        <v>1229</v>
      </c>
    </row>
    <row r="320" spans="1:7" x14ac:dyDescent="0.3">
      <c r="A320" s="275" t="s">
        <v>4047</v>
      </c>
      <c r="B320" s="194" t="s">
        <v>1229</v>
      </c>
    </row>
    <row r="321" spans="1:7" x14ac:dyDescent="0.3">
      <c r="A321" s="275" t="s">
        <v>4048</v>
      </c>
      <c r="B321" s="194" t="s">
        <v>1229</v>
      </c>
    </row>
    <row r="322" spans="1:7" x14ac:dyDescent="0.3">
      <c r="A322" s="275" t="s">
        <v>4049</v>
      </c>
      <c r="B322" s="194" t="s">
        <v>1229</v>
      </c>
    </row>
    <row r="323" spans="1:7" x14ac:dyDescent="0.3">
      <c r="A323" s="275" t="s">
        <v>4050</v>
      </c>
      <c r="B323" s="194" t="s">
        <v>1229</v>
      </c>
    </row>
    <row r="324" spans="1:7" x14ac:dyDescent="0.3">
      <c r="A324" s="275" t="s">
        <v>4051</v>
      </c>
      <c r="B324" s="194" t="s">
        <v>1229</v>
      </c>
    </row>
    <row r="325" spans="1:7" x14ac:dyDescent="0.3">
      <c r="A325" s="275" t="s">
        <v>4052</v>
      </c>
      <c r="B325" s="290" t="s">
        <v>1247</v>
      </c>
    </row>
    <row r="326" spans="1:7" x14ac:dyDescent="0.3">
      <c r="A326" s="275" t="s">
        <v>4053</v>
      </c>
      <c r="B326" s="290" t="s">
        <v>352</v>
      </c>
      <c r="C326" s="297">
        <v>0</v>
      </c>
      <c r="D326" s="297">
        <v>0</v>
      </c>
      <c r="F326" s="302">
        <v>0</v>
      </c>
      <c r="G326" s="302">
        <v>0</v>
      </c>
    </row>
    <row r="327" spans="1:7" x14ac:dyDescent="0.3">
      <c r="A327" s="275" t="s">
        <v>4054</v>
      </c>
    </row>
    <row r="328" spans="1:7" x14ac:dyDescent="0.3">
      <c r="A328" s="275" t="s">
        <v>4055</v>
      </c>
    </row>
    <row r="329" spans="1:7" x14ac:dyDescent="0.3">
      <c r="A329" s="275" t="s">
        <v>4056</v>
      </c>
    </row>
    <row r="330" spans="1:7" x14ac:dyDescent="0.3">
      <c r="A330" s="289"/>
      <c r="B330" s="289" t="s">
        <v>4057</v>
      </c>
      <c r="C330" s="289" t="s">
        <v>310</v>
      </c>
      <c r="D330" s="289" t="s">
        <v>1226</v>
      </c>
      <c r="E330" s="289"/>
      <c r="F330" s="289" t="s">
        <v>879</v>
      </c>
      <c r="G330" s="289" t="s">
        <v>1227</v>
      </c>
    </row>
    <row r="331" spans="1:7" x14ac:dyDescent="0.3">
      <c r="A331" s="275" t="s">
        <v>4058</v>
      </c>
      <c r="B331" s="194" t="s">
        <v>1229</v>
      </c>
    </row>
    <row r="332" spans="1:7" x14ac:dyDescent="0.3">
      <c r="A332" s="275" t="s">
        <v>4059</v>
      </c>
      <c r="B332" s="194" t="s">
        <v>1229</v>
      </c>
    </row>
    <row r="333" spans="1:7" x14ac:dyDescent="0.3">
      <c r="A333" s="275" t="s">
        <v>4060</v>
      </c>
      <c r="B333" s="194" t="s">
        <v>1229</v>
      </c>
    </row>
    <row r="334" spans="1:7" x14ac:dyDescent="0.3">
      <c r="A334" s="275" t="s">
        <v>4061</v>
      </c>
      <c r="B334" s="194" t="s">
        <v>1229</v>
      </c>
    </row>
    <row r="335" spans="1:7" x14ac:dyDescent="0.3">
      <c r="A335" s="275" t="s">
        <v>4062</v>
      </c>
      <c r="B335" s="194" t="s">
        <v>1229</v>
      </c>
    </row>
    <row r="336" spans="1:7" x14ac:dyDescent="0.3">
      <c r="A336" s="275" t="s">
        <v>4063</v>
      </c>
      <c r="B336" s="194" t="s">
        <v>1229</v>
      </c>
    </row>
    <row r="337" spans="1:7" x14ac:dyDescent="0.3">
      <c r="A337" s="275" t="s">
        <v>4064</v>
      </c>
      <c r="B337" s="194" t="s">
        <v>1229</v>
      </c>
    </row>
    <row r="338" spans="1:7" x14ac:dyDescent="0.3">
      <c r="A338" s="275" t="s">
        <v>4065</v>
      </c>
      <c r="B338" s="194" t="s">
        <v>1229</v>
      </c>
    </row>
    <row r="339" spans="1:7" x14ac:dyDescent="0.3">
      <c r="A339" s="275" t="s">
        <v>4066</v>
      </c>
      <c r="B339" s="194" t="s">
        <v>1229</v>
      </c>
    </row>
    <row r="340" spans="1:7" x14ac:dyDescent="0.3">
      <c r="A340" s="275" t="s">
        <v>4067</v>
      </c>
      <c r="B340" s="194" t="s">
        <v>1229</v>
      </c>
    </row>
    <row r="341" spans="1:7" x14ac:dyDescent="0.3">
      <c r="A341" s="275" t="s">
        <v>4068</v>
      </c>
      <c r="B341" s="194" t="s">
        <v>1229</v>
      </c>
    </row>
    <row r="342" spans="1:7" x14ac:dyDescent="0.3">
      <c r="A342" s="275" t="s">
        <v>4069</v>
      </c>
      <c r="B342" s="194" t="s">
        <v>1229</v>
      </c>
    </row>
    <row r="343" spans="1:7" x14ac:dyDescent="0.3">
      <c r="A343" s="275" t="s">
        <v>4070</v>
      </c>
      <c r="B343" s="194" t="s">
        <v>1229</v>
      </c>
    </row>
    <row r="344" spans="1:7" x14ac:dyDescent="0.3">
      <c r="A344" s="275" t="s">
        <v>4071</v>
      </c>
      <c r="B344" s="194" t="s">
        <v>1229</v>
      </c>
    </row>
    <row r="345" spans="1:7" x14ac:dyDescent="0.3">
      <c r="A345" s="275" t="s">
        <v>4072</v>
      </c>
      <c r="B345" s="194" t="s">
        <v>1229</v>
      </c>
    </row>
    <row r="346" spans="1:7" x14ac:dyDescent="0.3">
      <c r="A346" s="275" t="s">
        <v>4073</v>
      </c>
      <c r="B346" s="194" t="s">
        <v>1229</v>
      </c>
    </row>
    <row r="347" spans="1:7" x14ac:dyDescent="0.3">
      <c r="A347" s="275" t="s">
        <v>4074</v>
      </c>
      <c r="B347" s="194" t="s">
        <v>1229</v>
      </c>
    </row>
    <row r="348" spans="1:7" x14ac:dyDescent="0.3">
      <c r="A348" s="275" t="s">
        <v>4075</v>
      </c>
      <c r="B348" s="290" t="s">
        <v>1247</v>
      </c>
    </row>
    <row r="349" spans="1:7" x14ac:dyDescent="0.3">
      <c r="A349" s="275" t="s">
        <v>4076</v>
      </c>
      <c r="B349" s="290" t="s">
        <v>352</v>
      </c>
      <c r="C349" s="297">
        <v>0</v>
      </c>
      <c r="D349" s="297">
        <v>0</v>
      </c>
      <c r="F349" s="302">
        <v>0</v>
      </c>
      <c r="G349" s="302">
        <v>0</v>
      </c>
    </row>
    <row r="350" spans="1:7" x14ac:dyDescent="0.3">
      <c r="A350" s="275" t="s">
        <v>4077</v>
      </c>
    </row>
    <row r="351" spans="1:7" x14ac:dyDescent="0.3">
      <c r="A351" s="275" t="s">
        <v>4078</v>
      </c>
    </row>
    <row r="352" spans="1:7" x14ac:dyDescent="0.3">
      <c r="A352" s="289"/>
      <c r="B352" s="289" t="s">
        <v>4079</v>
      </c>
      <c r="C352" s="289" t="s">
        <v>310</v>
      </c>
      <c r="D352" s="289" t="s">
        <v>1226</v>
      </c>
      <c r="E352" s="289"/>
      <c r="F352" s="289" t="s">
        <v>879</v>
      </c>
      <c r="G352" s="289" t="s">
        <v>1276</v>
      </c>
    </row>
    <row r="353" spans="1:7" x14ac:dyDescent="0.3">
      <c r="A353" s="275" t="s">
        <v>4080</v>
      </c>
      <c r="B353" s="290" t="s">
        <v>1278</v>
      </c>
    </row>
    <row r="354" spans="1:7" x14ac:dyDescent="0.3">
      <c r="A354" s="275" t="s">
        <v>4081</v>
      </c>
      <c r="B354" s="290" t="s">
        <v>1280</v>
      </c>
    </row>
    <row r="355" spans="1:7" x14ac:dyDescent="0.3">
      <c r="A355" s="275" t="s">
        <v>4082</v>
      </c>
      <c r="B355" s="290" t="s">
        <v>1282</v>
      </c>
    </row>
    <row r="356" spans="1:7" x14ac:dyDescent="0.3">
      <c r="A356" s="275" t="s">
        <v>4083</v>
      </c>
      <c r="B356" s="290" t="s">
        <v>1284</v>
      </c>
    </row>
    <row r="357" spans="1:7" x14ac:dyDescent="0.3">
      <c r="A357" s="275" t="s">
        <v>4084</v>
      </c>
      <c r="B357" s="290" t="s">
        <v>1286</v>
      </c>
    </row>
    <row r="358" spans="1:7" x14ac:dyDescent="0.3">
      <c r="A358" s="275" t="s">
        <v>4085</v>
      </c>
      <c r="B358" s="290" t="s">
        <v>1288</v>
      </c>
    </row>
    <row r="359" spans="1:7" x14ac:dyDescent="0.3">
      <c r="A359" s="275" t="s">
        <v>4086</v>
      </c>
      <c r="B359" s="290" t="s">
        <v>1290</v>
      </c>
    </row>
    <row r="360" spans="1:7" x14ac:dyDescent="0.3">
      <c r="A360" s="275" t="s">
        <v>4087</v>
      </c>
      <c r="B360" s="290" t="s">
        <v>1292</v>
      </c>
    </row>
    <row r="361" spans="1:7" x14ac:dyDescent="0.3">
      <c r="A361" s="275" t="s">
        <v>4088</v>
      </c>
      <c r="B361" s="290" t="s">
        <v>1294</v>
      </c>
    </row>
    <row r="362" spans="1:7" x14ac:dyDescent="0.3">
      <c r="A362" s="275" t="s">
        <v>4089</v>
      </c>
      <c r="B362" s="275" t="s">
        <v>1296</v>
      </c>
    </row>
    <row r="363" spans="1:7" x14ac:dyDescent="0.3">
      <c r="A363" s="275" t="s">
        <v>4090</v>
      </c>
      <c r="B363" s="275" t="s">
        <v>1298</v>
      </c>
    </row>
    <row r="364" spans="1:7" x14ac:dyDescent="0.3">
      <c r="A364" s="275" t="s">
        <v>4091</v>
      </c>
      <c r="B364" s="290" t="s">
        <v>1300</v>
      </c>
    </row>
    <row r="365" spans="1:7" x14ac:dyDescent="0.3">
      <c r="A365" s="275" t="s">
        <v>4092</v>
      </c>
      <c r="B365" s="275" t="s">
        <v>1247</v>
      </c>
    </row>
    <row r="366" spans="1:7" x14ac:dyDescent="0.3">
      <c r="A366" s="275" t="s">
        <v>4093</v>
      </c>
      <c r="B366" s="290" t="s">
        <v>352</v>
      </c>
      <c r="C366" s="297">
        <v>0</v>
      </c>
      <c r="D366" s="297">
        <v>0</v>
      </c>
      <c r="F366" s="302">
        <v>0</v>
      </c>
      <c r="G366" s="302">
        <v>0</v>
      </c>
    </row>
    <row r="367" spans="1:7" x14ac:dyDescent="0.3">
      <c r="A367" s="275" t="s">
        <v>4094</v>
      </c>
      <c r="B367" s="234"/>
    </row>
    <row r="368" spans="1:7" x14ac:dyDescent="0.3">
      <c r="A368" s="275" t="s">
        <v>4095</v>
      </c>
      <c r="B368" s="234"/>
    </row>
    <row r="369" spans="1:7" x14ac:dyDescent="0.3">
      <c r="A369" s="275" t="s">
        <v>4096</v>
      </c>
      <c r="B369" s="234"/>
    </row>
    <row r="370" spans="1:7" x14ac:dyDescent="0.3">
      <c r="A370" s="275" t="s">
        <v>4097</v>
      </c>
      <c r="B370" s="234"/>
    </row>
    <row r="371" spans="1:7" x14ac:dyDescent="0.3">
      <c r="A371" s="275" t="s">
        <v>4098</v>
      </c>
      <c r="B371" s="234"/>
    </row>
    <row r="372" spans="1:7" x14ac:dyDescent="0.3">
      <c r="A372" s="275" t="s">
        <v>4099</v>
      </c>
      <c r="B372" s="234"/>
    </row>
    <row r="373" spans="1:7" x14ac:dyDescent="0.3">
      <c r="A373" s="275" t="s">
        <v>4100</v>
      </c>
      <c r="B373" s="234"/>
    </row>
    <row r="374" spans="1:7" x14ac:dyDescent="0.3">
      <c r="A374" s="275" t="s">
        <v>4101</v>
      </c>
      <c r="B374" s="234"/>
    </row>
    <row r="375" spans="1:7" x14ac:dyDescent="0.3">
      <c r="A375" s="275" t="s">
        <v>4102</v>
      </c>
      <c r="B375" s="234"/>
    </row>
    <row r="376" spans="1:7" x14ac:dyDescent="0.3">
      <c r="A376" s="275" t="s">
        <v>4103</v>
      </c>
      <c r="B376" s="234"/>
    </row>
    <row r="377" spans="1:7" x14ac:dyDescent="0.3">
      <c r="A377" s="289"/>
      <c r="B377" s="289" t="s">
        <v>4104</v>
      </c>
      <c r="C377" s="289" t="s">
        <v>310</v>
      </c>
      <c r="D377" s="289" t="s">
        <v>1226</v>
      </c>
      <c r="E377" s="289"/>
      <c r="F377" s="289" t="s">
        <v>879</v>
      </c>
      <c r="G377" s="289" t="s">
        <v>1276</v>
      </c>
    </row>
    <row r="378" spans="1:7" x14ac:dyDescent="0.3">
      <c r="A378" s="275" t="s">
        <v>4105</v>
      </c>
      <c r="B378" s="290" t="s">
        <v>1315</v>
      </c>
    </row>
    <row r="379" spans="1:7" x14ac:dyDescent="0.3">
      <c r="A379" s="275" t="s">
        <v>4106</v>
      </c>
      <c r="B379" s="337" t="s">
        <v>1317</v>
      </c>
    </row>
    <row r="380" spans="1:7" x14ac:dyDescent="0.3">
      <c r="A380" s="275" t="s">
        <v>4107</v>
      </c>
      <c r="B380" s="290" t="s">
        <v>1319</v>
      </c>
    </row>
    <row r="381" spans="1:7" x14ac:dyDescent="0.3">
      <c r="A381" s="275" t="s">
        <v>4108</v>
      </c>
      <c r="B381" s="290" t="s">
        <v>1321</v>
      </c>
    </row>
    <row r="382" spans="1:7" x14ac:dyDescent="0.3">
      <c r="A382" s="275" t="s">
        <v>4109</v>
      </c>
      <c r="B382" s="290" t="s">
        <v>1323</v>
      </c>
    </row>
    <row r="383" spans="1:7" x14ac:dyDescent="0.3">
      <c r="A383" s="275" t="s">
        <v>4110</v>
      </c>
      <c r="B383" s="290" t="s">
        <v>1325</v>
      </c>
    </row>
    <row r="384" spans="1:7" x14ac:dyDescent="0.3">
      <c r="A384" s="275" t="s">
        <v>4111</v>
      </c>
      <c r="B384" s="290" t="s">
        <v>1007</v>
      </c>
    </row>
    <row r="385" spans="1:7" x14ac:dyDescent="0.3">
      <c r="A385" s="275" t="s">
        <v>4112</v>
      </c>
      <c r="B385" s="290" t="s">
        <v>352</v>
      </c>
      <c r="C385" s="297">
        <v>0</v>
      </c>
      <c r="D385" s="297">
        <v>0</v>
      </c>
      <c r="F385" s="302">
        <v>0</v>
      </c>
      <c r="G385" s="302">
        <v>0</v>
      </c>
    </row>
    <row r="386" spans="1:7" x14ac:dyDescent="0.3">
      <c r="A386" s="275" t="s">
        <v>4113</v>
      </c>
      <c r="B386" s="234"/>
    </row>
    <row r="387" spans="1:7" x14ac:dyDescent="0.3">
      <c r="A387" s="289"/>
      <c r="B387" s="289" t="s">
        <v>4114</v>
      </c>
      <c r="C387" s="289" t="s">
        <v>310</v>
      </c>
      <c r="D387" s="289" t="s">
        <v>1226</v>
      </c>
      <c r="E387" s="289"/>
      <c r="F387" s="289" t="s">
        <v>879</v>
      </c>
      <c r="G387" s="289" t="s">
        <v>1276</v>
      </c>
    </row>
    <row r="388" spans="1:7" x14ac:dyDescent="0.3">
      <c r="A388" s="275" t="s">
        <v>4115</v>
      </c>
      <c r="B388" s="290" t="s">
        <v>1331</v>
      </c>
    </row>
    <row r="389" spans="1:7" x14ac:dyDescent="0.3">
      <c r="A389" s="275" t="s">
        <v>4116</v>
      </c>
      <c r="B389" s="337" t="s">
        <v>1580</v>
      </c>
    </row>
    <row r="390" spans="1:7" x14ac:dyDescent="0.3">
      <c r="A390" s="275" t="s">
        <v>4117</v>
      </c>
      <c r="B390" s="290" t="s">
        <v>1007</v>
      </c>
    </row>
    <row r="391" spans="1:7" x14ac:dyDescent="0.3">
      <c r="A391" s="275" t="s">
        <v>4118</v>
      </c>
      <c r="B391" s="275" t="s">
        <v>1247</v>
      </c>
    </row>
    <row r="392" spans="1:7" x14ac:dyDescent="0.3">
      <c r="A392" s="275" t="s">
        <v>4119</v>
      </c>
      <c r="B392" s="290" t="s">
        <v>352</v>
      </c>
      <c r="C392" s="297">
        <v>0</v>
      </c>
      <c r="D392" s="297">
        <v>0</v>
      </c>
      <c r="F392" s="302">
        <v>0</v>
      </c>
      <c r="G392" s="302">
        <v>0</v>
      </c>
    </row>
    <row r="393" spans="1:7" x14ac:dyDescent="0.3">
      <c r="A393" s="275" t="s">
        <v>4120</v>
      </c>
      <c r="B393" s="229"/>
    </row>
    <row r="394" spans="1:7" x14ac:dyDescent="0.3">
      <c r="A394" s="289"/>
      <c r="B394" s="289" t="s">
        <v>4121</v>
      </c>
      <c r="C394" s="289" t="s">
        <v>310</v>
      </c>
      <c r="D394" s="289" t="s">
        <v>1226</v>
      </c>
      <c r="E394" s="289"/>
      <c r="F394" s="289" t="s">
        <v>879</v>
      </c>
      <c r="G394" s="289" t="s">
        <v>1227</v>
      </c>
    </row>
    <row r="395" spans="1:7" x14ac:dyDescent="0.3">
      <c r="A395" s="275" t="s">
        <v>4122</v>
      </c>
      <c r="B395" s="194" t="s">
        <v>1229</v>
      </c>
    </row>
    <row r="396" spans="1:7" x14ac:dyDescent="0.3">
      <c r="A396" s="275" t="s">
        <v>4123</v>
      </c>
      <c r="B396" s="194" t="s">
        <v>1229</v>
      </c>
    </row>
    <row r="397" spans="1:7" x14ac:dyDescent="0.3">
      <c r="A397" s="275" t="s">
        <v>4124</v>
      </c>
      <c r="B397" s="194" t="s">
        <v>1229</v>
      </c>
    </row>
    <row r="398" spans="1:7" x14ac:dyDescent="0.3">
      <c r="A398" s="275" t="s">
        <v>4125</v>
      </c>
      <c r="B398" s="194" t="s">
        <v>1229</v>
      </c>
    </row>
    <row r="399" spans="1:7" x14ac:dyDescent="0.3">
      <c r="A399" s="275" t="s">
        <v>4126</v>
      </c>
      <c r="B399" s="194" t="s">
        <v>1229</v>
      </c>
    </row>
    <row r="400" spans="1:7" x14ac:dyDescent="0.3">
      <c r="A400" s="275" t="s">
        <v>4127</v>
      </c>
      <c r="B400" s="194" t="s">
        <v>1229</v>
      </c>
    </row>
    <row r="401" spans="1:7" x14ac:dyDescent="0.3">
      <c r="A401" s="275" t="s">
        <v>4128</v>
      </c>
      <c r="B401" s="194" t="s">
        <v>1229</v>
      </c>
    </row>
    <row r="402" spans="1:7" x14ac:dyDescent="0.3">
      <c r="A402" s="275" t="s">
        <v>4129</v>
      </c>
      <c r="B402" s="194" t="s">
        <v>1229</v>
      </c>
    </row>
    <row r="403" spans="1:7" x14ac:dyDescent="0.3">
      <c r="A403" s="275" t="s">
        <v>4130</v>
      </c>
      <c r="B403" s="194" t="s">
        <v>1229</v>
      </c>
    </row>
    <row r="404" spans="1:7" x14ac:dyDescent="0.3">
      <c r="A404" s="275" t="s">
        <v>4131</v>
      </c>
      <c r="B404" s="194" t="s">
        <v>1229</v>
      </c>
    </row>
    <row r="405" spans="1:7" x14ac:dyDescent="0.3">
      <c r="A405" s="275" t="s">
        <v>4132</v>
      </c>
      <c r="B405" s="194" t="s">
        <v>1229</v>
      </c>
    </row>
    <row r="406" spans="1:7" x14ac:dyDescent="0.3">
      <c r="A406" s="275" t="s">
        <v>4133</v>
      </c>
      <c r="B406" s="194" t="s">
        <v>1229</v>
      </c>
    </row>
    <row r="407" spans="1:7" x14ac:dyDescent="0.3">
      <c r="A407" s="275" t="s">
        <v>4134</v>
      </c>
      <c r="B407" s="194" t="s">
        <v>1229</v>
      </c>
    </row>
    <row r="408" spans="1:7" x14ac:dyDescent="0.3">
      <c r="A408" s="275" t="s">
        <v>4135</v>
      </c>
      <c r="B408" s="194" t="s">
        <v>1229</v>
      </c>
    </row>
    <row r="409" spans="1:7" x14ac:dyDescent="0.3">
      <c r="A409" s="275" t="s">
        <v>4136</v>
      </c>
      <c r="B409" s="194" t="s">
        <v>1229</v>
      </c>
    </row>
    <row r="410" spans="1:7" x14ac:dyDescent="0.3">
      <c r="A410" s="275" t="s">
        <v>4137</v>
      </c>
      <c r="B410" s="194" t="s">
        <v>1229</v>
      </c>
    </row>
    <row r="411" spans="1:7" x14ac:dyDescent="0.3">
      <c r="A411" s="275" t="s">
        <v>4138</v>
      </c>
      <c r="B411" s="194" t="s">
        <v>1229</v>
      </c>
    </row>
    <row r="412" spans="1:7" x14ac:dyDescent="0.3">
      <c r="A412" s="275" t="s">
        <v>4139</v>
      </c>
      <c r="B412" s="194" t="s">
        <v>1247</v>
      </c>
    </row>
    <row r="413" spans="1:7" x14ac:dyDescent="0.3">
      <c r="A413" s="275" t="s">
        <v>4140</v>
      </c>
      <c r="B413" s="297" t="s">
        <v>352</v>
      </c>
      <c r="C413" s="297">
        <v>0</v>
      </c>
      <c r="D413" s="297">
        <v>0</v>
      </c>
      <c r="F413" s="302">
        <v>0</v>
      </c>
      <c r="G413" s="302">
        <v>0</v>
      </c>
    </row>
    <row r="414" spans="1:7" x14ac:dyDescent="0.3">
      <c r="A414" s="275" t="s">
        <v>4141</v>
      </c>
    </row>
    <row r="415" spans="1:7" x14ac:dyDescent="0.3">
      <c r="A415" s="275" t="s">
        <v>4142</v>
      </c>
    </row>
    <row r="416" spans="1:7" x14ac:dyDescent="0.3">
      <c r="A416" s="275" t="s">
        <v>4143</v>
      </c>
    </row>
    <row r="417" spans="1:1" x14ac:dyDescent="0.3">
      <c r="A417" s="275" t="s">
        <v>4144</v>
      </c>
    </row>
    <row r="418" spans="1:1" x14ac:dyDescent="0.3">
      <c r="A418" s="275" t="s">
        <v>4145</v>
      </c>
    </row>
    <row r="419" spans="1:1" x14ac:dyDescent="0.3">
      <c r="A419" s="275" t="s">
        <v>4146</v>
      </c>
    </row>
    <row r="420" spans="1:1" x14ac:dyDescent="0.3">
      <c r="A420" s="275" t="s">
        <v>4147</v>
      </c>
    </row>
    <row r="421" spans="1:1" x14ac:dyDescent="0.3">
      <c r="A421" s="275" t="s">
        <v>4148</v>
      </c>
    </row>
    <row r="422" spans="1:1" x14ac:dyDescent="0.3">
      <c r="A422" s="275" t="s">
        <v>4149</v>
      </c>
    </row>
    <row r="423" spans="1:1" x14ac:dyDescent="0.3">
      <c r="A423" s="275" t="s">
        <v>4150</v>
      </c>
    </row>
    <row r="424" spans="1:1" x14ac:dyDescent="0.3">
      <c r="A424" s="275" t="s">
        <v>4151</v>
      </c>
    </row>
    <row r="425" spans="1:1" x14ac:dyDescent="0.3">
      <c r="A425" s="275" t="s">
        <v>4152</v>
      </c>
    </row>
    <row r="426" spans="1:1" x14ac:dyDescent="0.3">
      <c r="A426" s="275" t="s">
        <v>4153</v>
      </c>
    </row>
    <row r="427" spans="1:1" x14ac:dyDescent="0.3">
      <c r="A427" s="275" t="s">
        <v>4154</v>
      </c>
    </row>
    <row r="428" spans="1:1" x14ac:dyDescent="0.3">
      <c r="A428" s="275" t="s">
        <v>4155</v>
      </c>
    </row>
    <row r="429" spans="1:1" x14ac:dyDescent="0.3">
      <c r="A429" s="275" t="s">
        <v>4156</v>
      </c>
    </row>
    <row r="430" spans="1:1" x14ac:dyDescent="0.3">
      <c r="A430" s="275" t="s">
        <v>4157</v>
      </c>
    </row>
    <row r="431" spans="1:1" x14ac:dyDescent="0.3">
      <c r="A431" s="275" t="s">
        <v>4158</v>
      </c>
    </row>
    <row r="432" spans="1:1" x14ac:dyDescent="0.3">
      <c r="A432" s="275" t="s">
        <v>4159</v>
      </c>
    </row>
    <row r="433" spans="1:7" x14ac:dyDescent="0.3">
      <c r="A433" s="275" t="s">
        <v>4160</v>
      </c>
    </row>
    <row r="434" spans="1:7" x14ac:dyDescent="0.3">
      <c r="A434" s="275" t="s">
        <v>4161</v>
      </c>
    </row>
    <row r="435" spans="1:7" x14ac:dyDescent="0.3">
      <c r="A435" s="275" t="s">
        <v>4162</v>
      </c>
    </row>
    <row r="436" spans="1:7" x14ac:dyDescent="0.3">
      <c r="A436" s="275" t="s">
        <v>4163</v>
      </c>
    </row>
    <row r="437" spans="1:7" x14ac:dyDescent="0.3">
      <c r="A437" s="275" t="s">
        <v>4164</v>
      </c>
    </row>
    <row r="438" spans="1:7" x14ac:dyDescent="0.3">
      <c r="A438" s="275" t="s">
        <v>4165</v>
      </c>
    </row>
    <row r="439" spans="1:7" x14ac:dyDescent="0.3">
      <c r="A439" s="275" t="s">
        <v>4166</v>
      </c>
    </row>
    <row r="440" spans="1:7" x14ac:dyDescent="0.3">
      <c r="A440" s="275" t="s">
        <v>4167</v>
      </c>
    </row>
    <row r="441" spans="1:7" x14ac:dyDescent="0.3">
      <c r="A441" s="275" t="s">
        <v>4168</v>
      </c>
    </row>
    <row r="442" spans="1:7" x14ac:dyDescent="0.3">
      <c r="A442" s="275" t="s">
        <v>4169</v>
      </c>
    </row>
    <row r="443" spans="1:7" ht="18.75" customHeight="1" x14ac:dyDescent="0.3">
      <c r="A443" s="332"/>
      <c r="B443" s="545" t="s">
        <v>4170</v>
      </c>
      <c r="C443" s="332"/>
      <c r="D443" s="332"/>
      <c r="E443" s="332"/>
      <c r="F443" s="332"/>
      <c r="G443" s="332"/>
    </row>
    <row r="444" spans="1:7" x14ac:dyDescent="0.3">
      <c r="A444" s="289"/>
      <c r="B444" s="289" t="s">
        <v>1394</v>
      </c>
      <c r="C444" s="289" t="s">
        <v>1092</v>
      </c>
      <c r="D444" s="289" t="s">
        <v>1093</v>
      </c>
      <c r="E444" s="289"/>
      <c r="F444" s="289" t="s">
        <v>880</v>
      </c>
      <c r="G444" s="289" t="s">
        <v>519</v>
      </c>
    </row>
    <row r="445" spans="1:7" x14ac:dyDescent="0.3">
      <c r="A445" s="275" t="s">
        <v>4171</v>
      </c>
      <c r="B445" s="275" t="s">
        <v>1095</v>
      </c>
    </row>
    <row r="447" spans="1:7" x14ac:dyDescent="0.3">
      <c r="B447" s="194" t="s">
        <v>1096</v>
      </c>
    </row>
    <row r="448" spans="1:7" x14ac:dyDescent="0.3">
      <c r="A448" s="275" t="s">
        <v>4172</v>
      </c>
      <c r="B448" s="194" t="s">
        <v>1229</v>
      </c>
    </row>
    <row r="449" spans="1:2" x14ac:dyDescent="0.3">
      <c r="A449" s="275" t="s">
        <v>4173</v>
      </c>
      <c r="B449" s="194" t="s">
        <v>1229</v>
      </c>
    </row>
    <row r="450" spans="1:2" x14ac:dyDescent="0.3">
      <c r="A450" s="275" t="s">
        <v>4174</v>
      </c>
      <c r="B450" s="194" t="s">
        <v>1229</v>
      </c>
    </row>
    <row r="451" spans="1:2" x14ac:dyDescent="0.3">
      <c r="A451" s="275" t="s">
        <v>4175</v>
      </c>
      <c r="B451" s="194" t="s">
        <v>1229</v>
      </c>
    </row>
    <row r="452" spans="1:2" x14ac:dyDescent="0.3">
      <c r="A452" s="275" t="s">
        <v>4176</v>
      </c>
      <c r="B452" s="194" t="s">
        <v>1229</v>
      </c>
    </row>
    <row r="453" spans="1:2" x14ac:dyDescent="0.3">
      <c r="A453" s="275" t="s">
        <v>4177</v>
      </c>
      <c r="B453" s="194" t="s">
        <v>1229</v>
      </c>
    </row>
    <row r="454" spans="1:2" x14ac:dyDescent="0.3">
      <c r="A454" s="275" t="s">
        <v>4178</v>
      </c>
      <c r="B454" s="194" t="s">
        <v>1229</v>
      </c>
    </row>
    <row r="455" spans="1:2" x14ac:dyDescent="0.3">
      <c r="A455" s="275" t="s">
        <v>4179</v>
      </c>
      <c r="B455" s="194" t="s">
        <v>1229</v>
      </c>
    </row>
    <row r="456" spans="1:2" x14ac:dyDescent="0.3">
      <c r="A456" s="275" t="s">
        <v>4180</v>
      </c>
      <c r="B456" s="194" t="s">
        <v>1229</v>
      </c>
    </row>
    <row r="457" spans="1:2" x14ac:dyDescent="0.3">
      <c r="A457" s="275" t="s">
        <v>4181</v>
      </c>
      <c r="B457" s="194" t="s">
        <v>1229</v>
      </c>
    </row>
    <row r="458" spans="1:2" x14ac:dyDescent="0.3">
      <c r="A458" s="275" t="s">
        <v>4182</v>
      </c>
      <c r="B458" s="194" t="s">
        <v>1229</v>
      </c>
    </row>
    <row r="459" spans="1:2" x14ac:dyDescent="0.3">
      <c r="A459" s="275" t="s">
        <v>4183</v>
      </c>
      <c r="B459" s="194" t="s">
        <v>1229</v>
      </c>
    </row>
    <row r="460" spans="1:2" x14ac:dyDescent="0.3">
      <c r="A460" s="275" t="s">
        <v>4184</v>
      </c>
      <c r="B460" s="194" t="s">
        <v>1229</v>
      </c>
    </row>
    <row r="461" spans="1:2" x14ac:dyDescent="0.3">
      <c r="A461" s="275" t="s">
        <v>4185</v>
      </c>
      <c r="B461" s="194" t="s">
        <v>1229</v>
      </c>
    </row>
    <row r="462" spans="1:2" x14ac:dyDescent="0.3">
      <c r="A462" s="275" t="s">
        <v>4186</v>
      </c>
      <c r="B462" s="194" t="s">
        <v>1229</v>
      </c>
    </row>
    <row r="463" spans="1:2" x14ac:dyDescent="0.3">
      <c r="A463" s="275" t="s">
        <v>4187</v>
      </c>
      <c r="B463" s="194" t="s">
        <v>1229</v>
      </c>
    </row>
    <row r="464" spans="1:2" x14ac:dyDescent="0.3">
      <c r="A464" s="275" t="s">
        <v>4188</v>
      </c>
      <c r="B464" s="194" t="s">
        <v>1229</v>
      </c>
    </row>
    <row r="465" spans="1:7" x14ac:dyDescent="0.3">
      <c r="A465" s="275" t="s">
        <v>4189</v>
      </c>
      <c r="B465" s="194" t="s">
        <v>1229</v>
      </c>
    </row>
    <row r="466" spans="1:7" x14ac:dyDescent="0.3">
      <c r="A466" s="275" t="s">
        <v>4190</v>
      </c>
      <c r="B466" s="194" t="s">
        <v>1229</v>
      </c>
    </row>
    <row r="467" spans="1:7" x14ac:dyDescent="0.3">
      <c r="A467" s="275" t="s">
        <v>4191</v>
      </c>
      <c r="B467" s="194" t="s">
        <v>1229</v>
      </c>
    </row>
    <row r="468" spans="1:7" x14ac:dyDescent="0.3">
      <c r="A468" s="275" t="s">
        <v>4192</v>
      </c>
      <c r="B468" s="194" t="s">
        <v>1229</v>
      </c>
    </row>
    <row r="469" spans="1:7" x14ac:dyDescent="0.3">
      <c r="A469" s="275" t="s">
        <v>4193</v>
      </c>
      <c r="B469" s="194" t="s">
        <v>1229</v>
      </c>
    </row>
    <row r="470" spans="1:7" x14ac:dyDescent="0.3">
      <c r="A470" s="275" t="s">
        <v>4194</v>
      </c>
      <c r="B470" s="194" t="s">
        <v>1229</v>
      </c>
    </row>
    <row r="471" spans="1:7" x14ac:dyDescent="0.3">
      <c r="A471" s="275" t="s">
        <v>4195</v>
      </c>
      <c r="B471" s="194" t="s">
        <v>1229</v>
      </c>
    </row>
    <row r="472" spans="1:7" x14ac:dyDescent="0.3">
      <c r="A472" s="275" t="s">
        <v>4196</v>
      </c>
      <c r="B472" s="297" t="s">
        <v>352</v>
      </c>
      <c r="C472" s="338">
        <v>0</v>
      </c>
      <c r="D472" s="338">
        <v>0</v>
      </c>
      <c r="F472" s="302">
        <v>0</v>
      </c>
      <c r="G472" s="302">
        <v>0</v>
      </c>
    </row>
    <row r="473" spans="1:7" x14ac:dyDescent="0.3">
      <c r="A473" s="289"/>
      <c r="B473" s="289" t="s">
        <v>1421</v>
      </c>
      <c r="C473" s="289" t="s">
        <v>1092</v>
      </c>
      <c r="D473" s="289" t="s">
        <v>1093</v>
      </c>
      <c r="E473" s="289"/>
      <c r="F473" s="289" t="s">
        <v>880</v>
      </c>
      <c r="G473" s="289" t="s">
        <v>519</v>
      </c>
    </row>
    <row r="474" spans="1:7" x14ac:dyDescent="0.3">
      <c r="A474" s="275" t="s">
        <v>4197</v>
      </c>
      <c r="B474" s="275" t="s">
        <v>1130</v>
      </c>
    </row>
    <row r="475" spans="1:7" x14ac:dyDescent="0.3">
      <c r="A475" s="229"/>
      <c r="B475" s="229"/>
    </row>
    <row r="476" spans="1:7" x14ac:dyDescent="0.3">
      <c r="A476" s="229"/>
      <c r="B476" s="290" t="s">
        <v>1131</v>
      </c>
    </row>
    <row r="477" spans="1:7" x14ac:dyDescent="0.3">
      <c r="A477" s="275" t="s">
        <v>4198</v>
      </c>
      <c r="B477" s="275" t="s">
        <v>1133</v>
      </c>
    </row>
    <row r="478" spans="1:7" x14ac:dyDescent="0.3">
      <c r="A478" s="275" t="s">
        <v>4199</v>
      </c>
      <c r="B478" s="275" t="s">
        <v>1135</v>
      </c>
    </row>
    <row r="479" spans="1:7" x14ac:dyDescent="0.3">
      <c r="A479" s="275" t="s">
        <v>4200</v>
      </c>
      <c r="B479" s="275" t="s">
        <v>1137</v>
      </c>
    </row>
    <row r="480" spans="1:7" x14ac:dyDescent="0.3">
      <c r="A480" s="275" t="s">
        <v>4201</v>
      </c>
      <c r="B480" s="275" t="s">
        <v>1139</v>
      </c>
    </row>
    <row r="481" spans="1:7" x14ac:dyDescent="0.3">
      <c r="A481" s="275" t="s">
        <v>4202</v>
      </c>
      <c r="B481" s="275" t="s">
        <v>1141</v>
      </c>
    </row>
    <row r="482" spans="1:7" x14ac:dyDescent="0.3">
      <c r="A482" s="275" t="s">
        <v>4203</v>
      </c>
      <c r="B482" s="275" t="s">
        <v>1143</v>
      </c>
    </row>
    <row r="483" spans="1:7" x14ac:dyDescent="0.3">
      <c r="A483" s="275" t="s">
        <v>4204</v>
      </c>
      <c r="B483" s="275" t="s">
        <v>1145</v>
      </c>
    </row>
    <row r="484" spans="1:7" x14ac:dyDescent="0.3">
      <c r="A484" s="275" t="s">
        <v>4205</v>
      </c>
      <c r="B484" s="275" t="s">
        <v>1147</v>
      </c>
    </row>
    <row r="485" spans="1:7" x14ac:dyDescent="0.3">
      <c r="A485" s="275" t="s">
        <v>4206</v>
      </c>
      <c r="B485" s="295" t="s">
        <v>352</v>
      </c>
      <c r="C485" s="338">
        <v>0</v>
      </c>
      <c r="D485" s="297">
        <v>0</v>
      </c>
      <c r="F485" s="302">
        <v>0</v>
      </c>
      <c r="G485" s="302">
        <v>0</v>
      </c>
    </row>
    <row r="486" spans="1:7" x14ac:dyDescent="0.3">
      <c r="A486" s="275" t="s">
        <v>4207</v>
      </c>
      <c r="B486" s="324" t="s">
        <v>1150</v>
      </c>
    </row>
    <row r="487" spans="1:7" x14ac:dyDescent="0.3">
      <c r="A487" s="275" t="s">
        <v>4208</v>
      </c>
      <c r="B487" s="324" t="s">
        <v>1152</v>
      </c>
    </row>
    <row r="488" spans="1:7" x14ac:dyDescent="0.3">
      <c r="A488" s="275" t="s">
        <v>4209</v>
      </c>
      <c r="B488" s="324" t="s">
        <v>1154</v>
      </c>
    </row>
    <row r="489" spans="1:7" x14ac:dyDescent="0.3">
      <c r="A489" s="275" t="s">
        <v>4210</v>
      </c>
      <c r="B489" s="324" t="s">
        <v>1156</v>
      </c>
    </row>
    <row r="490" spans="1:7" x14ac:dyDescent="0.3">
      <c r="A490" s="275" t="s">
        <v>4211</v>
      </c>
      <c r="B490" s="324" t="s">
        <v>1158</v>
      </c>
    </row>
    <row r="491" spans="1:7" x14ac:dyDescent="0.3">
      <c r="A491" s="275" t="s">
        <v>4212</v>
      </c>
      <c r="B491" s="324" t="s">
        <v>1160</v>
      </c>
    </row>
    <row r="492" spans="1:7" x14ac:dyDescent="0.3">
      <c r="A492" s="275" t="s">
        <v>4213</v>
      </c>
      <c r="B492" s="233"/>
    </row>
    <row r="493" spans="1:7" x14ac:dyDescent="0.3">
      <c r="A493" s="275" t="s">
        <v>4214</v>
      </c>
      <c r="B493" s="233"/>
    </row>
    <row r="494" spans="1:7" x14ac:dyDescent="0.3">
      <c r="A494" s="275" t="s">
        <v>4215</v>
      </c>
      <c r="B494" s="233"/>
    </row>
    <row r="495" spans="1:7" x14ac:dyDescent="0.3">
      <c r="A495" s="289"/>
      <c r="B495" s="289" t="s">
        <v>1441</v>
      </c>
      <c r="C495" s="289" t="s">
        <v>1092</v>
      </c>
      <c r="D495" s="289" t="s">
        <v>1093</v>
      </c>
      <c r="E495" s="289"/>
      <c r="F495" s="289" t="s">
        <v>880</v>
      </c>
      <c r="G495" s="289" t="s">
        <v>519</v>
      </c>
    </row>
    <row r="496" spans="1:7" x14ac:dyDescent="0.3">
      <c r="A496" s="275" t="s">
        <v>4216</v>
      </c>
      <c r="B496" s="275" t="s">
        <v>1130</v>
      </c>
      <c r="C496" s="194" t="s">
        <v>4217</v>
      </c>
      <c r="D496" s="194"/>
    </row>
    <row r="497" spans="1:7" x14ac:dyDescent="0.3">
      <c r="A497" s="229"/>
      <c r="B497" s="229"/>
      <c r="C497" s="194"/>
      <c r="D497" s="194"/>
    </row>
    <row r="498" spans="1:7" x14ac:dyDescent="0.3">
      <c r="A498" s="229"/>
      <c r="B498" s="290" t="s">
        <v>1131</v>
      </c>
      <c r="C498" s="194"/>
      <c r="D498" s="194"/>
    </row>
    <row r="499" spans="1:7" x14ac:dyDescent="0.3">
      <c r="A499" s="275" t="s">
        <v>4218</v>
      </c>
      <c r="B499" s="275" t="s">
        <v>1133</v>
      </c>
      <c r="C499" s="194" t="s">
        <v>4217</v>
      </c>
      <c r="D499" s="194" t="s">
        <v>4217</v>
      </c>
    </row>
    <row r="500" spans="1:7" x14ac:dyDescent="0.3">
      <c r="A500" s="275" t="s">
        <v>4219</v>
      </c>
      <c r="B500" s="275" t="s">
        <v>1135</v>
      </c>
      <c r="C500" s="194" t="s">
        <v>4217</v>
      </c>
      <c r="D500" s="194" t="s">
        <v>4217</v>
      </c>
    </row>
    <row r="501" spans="1:7" x14ac:dyDescent="0.3">
      <c r="A501" s="275" t="s">
        <v>4220</v>
      </c>
      <c r="B501" s="275" t="s">
        <v>1137</v>
      </c>
      <c r="C501" s="194" t="s">
        <v>4217</v>
      </c>
      <c r="D501" s="194" t="s">
        <v>4217</v>
      </c>
    </row>
    <row r="502" spans="1:7" x14ac:dyDescent="0.3">
      <c r="A502" s="275" t="s">
        <v>4221</v>
      </c>
      <c r="B502" s="275" t="s">
        <v>1139</v>
      </c>
      <c r="C502" s="194" t="s">
        <v>4217</v>
      </c>
      <c r="D502" s="194" t="s">
        <v>4217</v>
      </c>
    </row>
    <row r="503" spans="1:7" x14ac:dyDescent="0.3">
      <c r="A503" s="275" t="s">
        <v>4222</v>
      </c>
      <c r="B503" s="275" t="s">
        <v>1141</v>
      </c>
      <c r="C503" s="194" t="s">
        <v>4217</v>
      </c>
      <c r="D503" s="194" t="s">
        <v>4217</v>
      </c>
    </row>
    <row r="504" spans="1:7" x14ac:dyDescent="0.3">
      <c r="A504" s="275" t="s">
        <v>4223</v>
      </c>
      <c r="B504" s="275" t="s">
        <v>1143</v>
      </c>
      <c r="C504" s="194" t="s">
        <v>4217</v>
      </c>
      <c r="D504" s="194" t="s">
        <v>4217</v>
      </c>
    </row>
    <row r="505" spans="1:7" x14ac:dyDescent="0.3">
      <c r="A505" s="275" t="s">
        <v>4224</v>
      </c>
      <c r="B505" s="275" t="s">
        <v>1145</v>
      </c>
      <c r="C505" s="194" t="s">
        <v>4217</v>
      </c>
      <c r="D505" s="194" t="s">
        <v>4217</v>
      </c>
    </row>
    <row r="506" spans="1:7" x14ac:dyDescent="0.3">
      <c r="A506" s="275" t="s">
        <v>4225</v>
      </c>
      <c r="B506" s="275" t="s">
        <v>1147</v>
      </c>
      <c r="C506" s="194" t="s">
        <v>4217</v>
      </c>
      <c r="D506" s="194" t="s">
        <v>4217</v>
      </c>
    </row>
    <row r="507" spans="1:7" x14ac:dyDescent="0.3">
      <c r="A507" s="275" t="s">
        <v>4226</v>
      </c>
      <c r="B507" s="295" t="s">
        <v>352</v>
      </c>
      <c r="C507" s="338">
        <v>0</v>
      </c>
      <c r="D507" s="297">
        <v>0</v>
      </c>
      <c r="F507" s="302">
        <v>0</v>
      </c>
      <c r="G507" s="302">
        <v>0</v>
      </c>
    </row>
    <row r="508" spans="1:7" x14ac:dyDescent="0.3">
      <c r="A508" s="275" t="s">
        <v>4227</v>
      </c>
      <c r="B508" s="324" t="s">
        <v>1150</v>
      </c>
    </row>
    <row r="509" spans="1:7" x14ac:dyDescent="0.3">
      <c r="A509" s="275" t="s">
        <v>4228</v>
      </c>
      <c r="B509" s="324" t="s">
        <v>1152</v>
      </c>
    </row>
    <row r="510" spans="1:7" x14ac:dyDescent="0.3">
      <c r="A510" s="275" t="s">
        <v>4229</v>
      </c>
      <c r="B510" s="324" t="s">
        <v>1154</v>
      </c>
    </row>
    <row r="511" spans="1:7" x14ac:dyDescent="0.3">
      <c r="A511" s="275" t="s">
        <v>4230</v>
      </c>
      <c r="B511" s="324" t="s">
        <v>1156</v>
      </c>
    </row>
    <row r="512" spans="1:7" x14ac:dyDescent="0.3">
      <c r="A512" s="275" t="s">
        <v>4231</v>
      </c>
      <c r="B512" s="324" t="s">
        <v>1158</v>
      </c>
    </row>
    <row r="513" spans="1:7" x14ac:dyDescent="0.3">
      <c r="A513" s="275" t="s">
        <v>4232</v>
      </c>
      <c r="B513" s="324" t="s">
        <v>1160</v>
      </c>
    </row>
    <row r="514" spans="1:7" x14ac:dyDescent="0.3">
      <c r="A514" s="275" t="s">
        <v>4233</v>
      </c>
      <c r="B514" s="233"/>
    </row>
    <row r="515" spans="1:7" x14ac:dyDescent="0.3">
      <c r="A515" s="275" t="s">
        <v>4234</v>
      </c>
      <c r="B515" s="233"/>
    </row>
    <row r="516" spans="1:7" x14ac:dyDescent="0.3">
      <c r="A516" s="275" t="s">
        <v>4235</v>
      </c>
      <c r="B516" s="233"/>
    </row>
    <row r="517" spans="1:7" x14ac:dyDescent="0.3">
      <c r="A517" s="289"/>
      <c r="B517" s="289" t="s">
        <v>1461</v>
      </c>
      <c r="C517" s="289" t="s">
        <v>1462</v>
      </c>
      <c r="D517" s="289"/>
      <c r="E517" s="289"/>
      <c r="F517" s="289"/>
      <c r="G517" s="289"/>
    </row>
    <row r="518" spans="1:7" x14ac:dyDescent="0.3">
      <c r="A518" s="275" t="s">
        <v>4236</v>
      </c>
      <c r="B518" s="290" t="s">
        <v>1464</v>
      </c>
    </row>
    <row r="519" spans="1:7" x14ac:dyDescent="0.3">
      <c r="A519" s="275" t="s">
        <v>4237</v>
      </c>
      <c r="B519" s="290" t="s">
        <v>1466</v>
      </c>
    </row>
    <row r="520" spans="1:7" x14ac:dyDescent="0.3">
      <c r="A520" s="275" t="s">
        <v>4238</v>
      </c>
      <c r="B520" s="290" t="s">
        <v>1468</v>
      </c>
    </row>
    <row r="521" spans="1:7" x14ac:dyDescent="0.3">
      <c r="A521" s="275" t="s">
        <v>4239</v>
      </c>
      <c r="B521" s="290" t="s">
        <v>1470</v>
      </c>
    </row>
    <row r="522" spans="1:7" x14ac:dyDescent="0.3">
      <c r="A522" s="275" t="s">
        <v>4240</v>
      </c>
      <c r="B522" s="290" t="s">
        <v>1472</v>
      </c>
    </row>
    <row r="523" spans="1:7" x14ac:dyDescent="0.3">
      <c r="A523" s="275" t="s">
        <v>4241</v>
      </c>
      <c r="B523" s="290" t="s">
        <v>1474</v>
      </c>
    </row>
    <row r="524" spans="1:7" x14ac:dyDescent="0.3">
      <c r="A524" s="275" t="s">
        <v>4242</v>
      </c>
      <c r="B524" s="290" t="s">
        <v>1476</v>
      </c>
    </row>
    <row r="525" spans="1:7" x14ac:dyDescent="0.3">
      <c r="A525" s="275" t="s">
        <v>4243</v>
      </c>
      <c r="B525" s="290" t="s">
        <v>1478</v>
      </c>
    </row>
    <row r="526" spans="1:7" x14ac:dyDescent="0.3">
      <c r="A526" s="275" t="s">
        <v>4244</v>
      </c>
      <c r="B526" s="290" t="s">
        <v>1480</v>
      </c>
    </row>
    <row r="527" spans="1:7" x14ac:dyDescent="0.3">
      <c r="A527" s="275" t="s">
        <v>4245</v>
      </c>
      <c r="B527" s="290" t="s">
        <v>1482</v>
      </c>
    </row>
    <row r="528" spans="1:7" x14ac:dyDescent="0.3">
      <c r="A528" s="275" t="s">
        <v>4246</v>
      </c>
      <c r="B528" s="290" t="s">
        <v>1484</v>
      </c>
    </row>
    <row r="529" spans="1:2" x14ac:dyDescent="0.3">
      <c r="A529" s="275" t="s">
        <v>4247</v>
      </c>
      <c r="B529" s="290" t="s">
        <v>1486</v>
      </c>
    </row>
    <row r="530" spans="1:2" x14ac:dyDescent="0.3">
      <c r="A530" s="275" t="s">
        <v>4248</v>
      </c>
      <c r="B530" s="290" t="s">
        <v>350</v>
      </c>
    </row>
    <row r="531" spans="1:2" x14ac:dyDescent="0.3">
      <c r="A531" s="275" t="s">
        <v>4249</v>
      </c>
      <c r="B531" s="324" t="s">
        <v>1489</v>
      </c>
    </row>
    <row r="532" spans="1:2" x14ac:dyDescent="0.3">
      <c r="A532" s="275" t="s">
        <v>4250</v>
      </c>
      <c r="B532" s="227" t="s">
        <v>354</v>
      </c>
    </row>
    <row r="533" spans="1:2" x14ac:dyDescent="0.3">
      <c r="A533" s="275" t="s">
        <v>4251</v>
      </c>
      <c r="B533" s="227" t="s">
        <v>354</v>
      </c>
    </row>
    <row r="534" spans="1:2" x14ac:dyDescent="0.3">
      <c r="A534" s="275" t="s">
        <v>4252</v>
      </c>
      <c r="B534" s="227" t="s">
        <v>354</v>
      </c>
    </row>
    <row r="535" spans="1:2" x14ac:dyDescent="0.3">
      <c r="A535" s="275" t="s">
        <v>4253</v>
      </c>
      <c r="B535" s="227" t="s">
        <v>354</v>
      </c>
    </row>
    <row r="536" spans="1:2" x14ac:dyDescent="0.3">
      <c r="A536" s="275" t="s">
        <v>4254</v>
      </c>
      <c r="B536" s="227" t="s">
        <v>354</v>
      </c>
    </row>
    <row r="537" spans="1:2" x14ac:dyDescent="0.3">
      <c r="A537" s="275" t="s">
        <v>4255</v>
      </c>
      <c r="B537" s="227" t="s">
        <v>354</v>
      </c>
    </row>
    <row r="538" spans="1:2" x14ac:dyDescent="0.3">
      <c r="A538" s="275" t="s">
        <v>4256</v>
      </c>
      <c r="B538" s="227" t="s">
        <v>354</v>
      </c>
    </row>
    <row r="539" spans="1:2" x14ac:dyDescent="0.3">
      <c r="A539" s="275" t="s">
        <v>4257</v>
      </c>
      <c r="B539" s="227" t="s">
        <v>354</v>
      </c>
    </row>
    <row r="540" spans="1:2" x14ac:dyDescent="0.3">
      <c r="A540" s="275" t="s">
        <v>4258</v>
      </c>
      <c r="B540" s="227" t="s">
        <v>354</v>
      </c>
    </row>
    <row r="541" spans="1:2" x14ac:dyDescent="0.3">
      <c r="A541" s="275" t="s">
        <v>4259</v>
      </c>
      <c r="B541" s="227" t="s">
        <v>354</v>
      </c>
    </row>
    <row r="542" spans="1:2" x14ac:dyDescent="0.3">
      <c r="A542" s="275" t="s">
        <v>4260</v>
      </c>
      <c r="B542" s="227" t="s">
        <v>354</v>
      </c>
    </row>
    <row r="543" spans="1:2" x14ac:dyDescent="0.3">
      <c r="A543" s="275" t="s">
        <v>4261</v>
      </c>
      <c r="B543" s="227" t="s">
        <v>354</v>
      </c>
    </row>
    <row r="544" spans="1:2" x14ac:dyDescent="0.3">
      <c r="A544" s="275" t="s">
        <v>4262</v>
      </c>
      <c r="B544" s="227" t="s">
        <v>354</v>
      </c>
    </row>
    <row r="545" spans="1:7" x14ac:dyDescent="0.3">
      <c r="A545" s="289"/>
      <c r="B545" s="289" t="s">
        <v>4263</v>
      </c>
      <c r="C545" s="289" t="s">
        <v>310</v>
      </c>
      <c r="D545" s="289" t="s">
        <v>1504</v>
      </c>
      <c r="E545" s="289"/>
      <c r="F545" s="289" t="s">
        <v>880</v>
      </c>
      <c r="G545" s="289"/>
    </row>
    <row r="546" spans="1:7" x14ac:dyDescent="0.3">
      <c r="A546" s="275" t="s">
        <v>4264</v>
      </c>
      <c r="B546" s="232" t="s">
        <v>1229</v>
      </c>
    </row>
    <row r="547" spans="1:7" x14ac:dyDescent="0.3">
      <c r="A547" s="275" t="s">
        <v>4265</v>
      </c>
      <c r="B547" s="232" t="s">
        <v>1229</v>
      </c>
    </row>
    <row r="548" spans="1:7" x14ac:dyDescent="0.3">
      <c r="A548" s="275" t="s">
        <v>4266</v>
      </c>
      <c r="B548" s="232" t="s">
        <v>1229</v>
      </c>
    </row>
    <row r="549" spans="1:7" x14ac:dyDescent="0.3">
      <c r="A549" s="275" t="s">
        <v>4267</v>
      </c>
      <c r="B549" s="232" t="s">
        <v>1229</v>
      </c>
    </row>
    <row r="550" spans="1:7" x14ac:dyDescent="0.3">
      <c r="A550" s="275" t="s">
        <v>4268</v>
      </c>
      <c r="B550" s="232" t="s">
        <v>1229</v>
      </c>
    </row>
    <row r="551" spans="1:7" x14ac:dyDescent="0.3">
      <c r="A551" s="275" t="s">
        <v>4269</v>
      </c>
      <c r="B551" s="232" t="s">
        <v>1229</v>
      </c>
    </row>
    <row r="552" spans="1:7" x14ac:dyDescent="0.3">
      <c r="A552" s="275" t="s">
        <v>4270</v>
      </c>
      <c r="B552" s="232" t="s">
        <v>1229</v>
      </c>
    </row>
    <row r="553" spans="1:7" x14ac:dyDescent="0.3">
      <c r="A553" s="275" t="s">
        <v>4271</v>
      </c>
      <c r="B553" s="232" t="s">
        <v>1229</v>
      </c>
    </row>
    <row r="554" spans="1:7" x14ac:dyDescent="0.3">
      <c r="A554" s="275" t="s">
        <v>4272</v>
      </c>
      <c r="B554" s="232" t="s">
        <v>1229</v>
      </c>
    </row>
    <row r="555" spans="1:7" x14ac:dyDescent="0.3">
      <c r="A555" s="275" t="s">
        <v>4273</v>
      </c>
      <c r="B555" s="232" t="s">
        <v>1229</v>
      </c>
    </row>
    <row r="556" spans="1:7" x14ac:dyDescent="0.3">
      <c r="A556" s="275" t="s">
        <v>4274</v>
      </c>
      <c r="B556" s="232" t="s">
        <v>1229</v>
      </c>
    </row>
    <row r="557" spans="1:7" x14ac:dyDescent="0.3">
      <c r="A557" s="275" t="s">
        <v>4275</v>
      </c>
      <c r="B557" s="232" t="s">
        <v>1229</v>
      </c>
    </row>
    <row r="558" spans="1:7" x14ac:dyDescent="0.3">
      <c r="A558" s="275" t="s">
        <v>4276</v>
      </c>
      <c r="B558" s="232" t="s">
        <v>1229</v>
      </c>
    </row>
    <row r="559" spans="1:7" x14ac:dyDescent="0.3">
      <c r="A559" s="275" t="s">
        <v>4277</v>
      </c>
      <c r="B559" s="232" t="s">
        <v>1229</v>
      </c>
    </row>
    <row r="560" spans="1:7" x14ac:dyDescent="0.3">
      <c r="A560" s="275" t="s">
        <v>4278</v>
      </c>
      <c r="B560" s="232" t="s">
        <v>1229</v>
      </c>
    </row>
    <row r="561" spans="1:7" x14ac:dyDescent="0.3">
      <c r="A561" s="275" t="s">
        <v>4279</v>
      </c>
      <c r="B561" s="232" t="s">
        <v>1229</v>
      </c>
    </row>
    <row r="562" spans="1:7" x14ac:dyDescent="0.3">
      <c r="A562" s="275" t="s">
        <v>4280</v>
      </c>
      <c r="B562" s="232" t="s">
        <v>1229</v>
      </c>
    </row>
    <row r="563" spans="1:7" x14ac:dyDescent="0.3">
      <c r="A563" s="275" t="s">
        <v>4281</v>
      </c>
      <c r="B563" s="290" t="s">
        <v>1247</v>
      </c>
    </row>
    <row r="564" spans="1:7" x14ac:dyDescent="0.3">
      <c r="A564" s="275" t="s">
        <v>4282</v>
      </c>
      <c r="B564" s="290" t="s">
        <v>352</v>
      </c>
      <c r="C564" s="338">
        <v>0</v>
      </c>
      <c r="D564" s="297">
        <v>0</v>
      </c>
      <c r="F564" s="302">
        <v>0</v>
      </c>
      <c r="G564" s="198"/>
    </row>
    <row r="565" spans="1:7" x14ac:dyDescent="0.3">
      <c r="A565" s="275" t="s">
        <v>4283</v>
      </c>
      <c r="B565" s="234"/>
    </row>
    <row r="566" spans="1:7" x14ac:dyDescent="0.3">
      <c r="A566" s="275" t="s">
        <v>4284</v>
      </c>
      <c r="B566" s="234"/>
    </row>
    <row r="567" spans="1:7" x14ac:dyDescent="0.3">
      <c r="A567" s="275" t="s">
        <v>4285</v>
      </c>
      <c r="B567" s="234"/>
    </row>
    <row r="568" spans="1:7" x14ac:dyDescent="0.3">
      <c r="A568" s="289"/>
      <c r="B568" s="289" t="s">
        <v>4286</v>
      </c>
      <c r="C568" s="289" t="s">
        <v>310</v>
      </c>
      <c r="D568" s="289" t="s">
        <v>1226</v>
      </c>
      <c r="E568" s="289"/>
      <c r="F568" s="289" t="s">
        <v>880</v>
      </c>
      <c r="G568" s="289"/>
    </row>
    <row r="569" spans="1:7" x14ac:dyDescent="0.3">
      <c r="A569" s="275" t="s">
        <v>4287</v>
      </c>
      <c r="B569" s="232" t="s">
        <v>1229</v>
      </c>
    </row>
    <row r="570" spans="1:7" x14ac:dyDescent="0.3">
      <c r="A570" s="275" t="s">
        <v>4288</v>
      </c>
      <c r="B570" s="232" t="s">
        <v>1229</v>
      </c>
    </row>
    <row r="571" spans="1:7" x14ac:dyDescent="0.3">
      <c r="A571" s="275" t="s">
        <v>4289</v>
      </c>
      <c r="B571" s="232" t="s">
        <v>1229</v>
      </c>
    </row>
    <row r="572" spans="1:7" x14ac:dyDescent="0.3">
      <c r="A572" s="275" t="s">
        <v>4290</v>
      </c>
      <c r="B572" s="232" t="s">
        <v>1229</v>
      </c>
    </row>
    <row r="573" spans="1:7" x14ac:dyDescent="0.3">
      <c r="A573" s="275" t="s">
        <v>4291</v>
      </c>
      <c r="B573" s="232" t="s">
        <v>1229</v>
      </c>
    </row>
    <row r="574" spans="1:7" x14ac:dyDescent="0.3">
      <c r="A574" s="275" t="s">
        <v>4292</v>
      </c>
      <c r="B574" s="232" t="s">
        <v>1229</v>
      </c>
    </row>
    <row r="575" spans="1:7" x14ac:dyDescent="0.3">
      <c r="A575" s="275" t="s">
        <v>4293</v>
      </c>
      <c r="B575" s="232" t="s">
        <v>1229</v>
      </c>
    </row>
    <row r="576" spans="1:7" x14ac:dyDescent="0.3">
      <c r="A576" s="275" t="s">
        <v>4294</v>
      </c>
      <c r="B576" s="232" t="s">
        <v>1229</v>
      </c>
    </row>
    <row r="577" spans="1:7" x14ac:dyDescent="0.3">
      <c r="A577" s="275" t="s">
        <v>4295</v>
      </c>
      <c r="B577" s="232" t="s">
        <v>1229</v>
      </c>
    </row>
    <row r="578" spans="1:7" x14ac:dyDescent="0.3">
      <c r="A578" s="275" t="s">
        <v>4296</v>
      </c>
      <c r="B578" s="232" t="s">
        <v>1229</v>
      </c>
    </row>
    <row r="579" spans="1:7" x14ac:dyDescent="0.3">
      <c r="A579" s="275" t="s">
        <v>4297</v>
      </c>
      <c r="B579" s="232" t="s">
        <v>1229</v>
      </c>
    </row>
    <row r="580" spans="1:7" x14ac:dyDescent="0.3">
      <c r="A580" s="275" t="s">
        <v>4298</v>
      </c>
      <c r="B580" s="232" t="s">
        <v>1229</v>
      </c>
    </row>
    <row r="581" spans="1:7" x14ac:dyDescent="0.3">
      <c r="A581" s="275" t="s">
        <v>4299</v>
      </c>
      <c r="B581" s="232" t="s">
        <v>1229</v>
      </c>
    </row>
    <row r="582" spans="1:7" x14ac:dyDescent="0.3">
      <c r="A582" s="275" t="s">
        <v>4300</v>
      </c>
      <c r="B582" s="232" t="s">
        <v>1229</v>
      </c>
    </row>
    <row r="583" spans="1:7" x14ac:dyDescent="0.3">
      <c r="A583" s="275" t="s">
        <v>4301</v>
      </c>
      <c r="B583" s="232" t="s">
        <v>1229</v>
      </c>
    </row>
    <row r="584" spans="1:7" x14ac:dyDescent="0.3">
      <c r="A584" s="275" t="s">
        <v>4302</v>
      </c>
      <c r="B584" s="232" t="s">
        <v>1229</v>
      </c>
    </row>
    <row r="585" spans="1:7" x14ac:dyDescent="0.3">
      <c r="A585" s="275" t="s">
        <v>4303</v>
      </c>
      <c r="B585" s="232" t="s">
        <v>1229</v>
      </c>
    </row>
    <row r="586" spans="1:7" x14ac:dyDescent="0.3">
      <c r="A586" s="275" t="s">
        <v>4304</v>
      </c>
      <c r="B586" s="290" t="s">
        <v>1247</v>
      </c>
    </row>
    <row r="587" spans="1:7" x14ac:dyDescent="0.3">
      <c r="A587" s="275" t="s">
        <v>4305</v>
      </c>
      <c r="B587" s="290" t="s">
        <v>352</v>
      </c>
      <c r="C587" s="338">
        <v>0</v>
      </c>
      <c r="D587" s="297">
        <v>0</v>
      </c>
      <c r="F587" s="302">
        <v>0</v>
      </c>
      <c r="G587" s="198"/>
    </row>
    <row r="588" spans="1:7" x14ac:dyDescent="0.3">
      <c r="A588" s="289"/>
      <c r="B588" s="289" t="s">
        <v>4306</v>
      </c>
      <c r="C588" s="289" t="s">
        <v>310</v>
      </c>
      <c r="D588" s="289" t="s">
        <v>1504</v>
      </c>
      <c r="E588" s="289"/>
      <c r="F588" s="289" t="s">
        <v>880</v>
      </c>
      <c r="G588" s="289"/>
    </row>
    <row r="589" spans="1:7" x14ac:dyDescent="0.3">
      <c r="A589" s="275" t="s">
        <v>4307</v>
      </c>
      <c r="B589" s="290" t="s">
        <v>1278</v>
      </c>
    </row>
    <row r="590" spans="1:7" x14ac:dyDescent="0.3">
      <c r="A590" s="275" t="s">
        <v>4308</v>
      </c>
      <c r="B590" s="290" t="s">
        <v>1280</v>
      </c>
    </row>
    <row r="591" spans="1:7" x14ac:dyDescent="0.3">
      <c r="A591" s="275" t="s">
        <v>4309</v>
      </c>
      <c r="B591" s="290" t="s">
        <v>1282</v>
      </c>
    </row>
    <row r="592" spans="1:7" x14ac:dyDescent="0.3">
      <c r="A592" s="275" t="s">
        <v>4310</v>
      </c>
      <c r="B592" s="290" t="s">
        <v>1284</v>
      </c>
    </row>
    <row r="593" spans="1:6" x14ac:dyDescent="0.3">
      <c r="A593" s="275" t="s">
        <v>4311</v>
      </c>
      <c r="B593" s="290" t="s">
        <v>1286</v>
      </c>
    </row>
    <row r="594" spans="1:6" x14ac:dyDescent="0.3">
      <c r="A594" s="275" t="s">
        <v>4312</v>
      </c>
      <c r="B594" s="290" t="s">
        <v>1288</v>
      </c>
    </row>
    <row r="595" spans="1:6" x14ac:dyDescent="0.3">
      <c r="A595" s="275" t="s">
        <v>4313</v>
      </c>
      <c r="B595" s="290" t="s">
        <v>1290</v>
      </c>
    </row>
    <row r="596" spans="1:6" x14ac:dyDescent="0.3">
      <c r="A596" s="275" t="s">
        <v>4314</v>
      </c>
      <c r="B596" s="290" t="s">
        <v>1292</v>
      </c>
    </row>
    <row r="597" spans="1:6" x14ac:dyDescent="0.3">
      <c r="A597" s="275" t="s">
        <v>4315</v>
      </c>
      <c r="B597" s="290" t="s">
        <v>1294</v>
      </c>
    </row>
    <row r="598" spans="1:6" x14ac:dyDescent="0.3">
      <c r="A598" s="275" t="s">
        <v>4316</v>
      </c>
      <c r="B598" s="275" t="s">
        <v>1296</v>
      </c>
    </row>
    <row r="599" spans="1:6" x14ac:dyDescent="0.3">
      <c r="A599" s="275" t="s">
        <v>4317</v>
      </c>
      <c r="B599" s="275" t="s">
        <v>1298</v>
      </c>
    </row>
    <row r="600" spans="1:6" x14ac:dyDescent="0.3">
      <c r="A600" s="275" t="s">
        <v>4318</v>
      </c>
      <c r="B600" s="290" t="s">
        <v>1300</v>
      </c>
    </row>
    <row r="601" spans="1:6" x14ac:dyDescent="0.3">
      <c r="A601" s="275" t="s">
        <v>4319</v>
      </c>
      <c r="B601" s="290" t="s">
        <v>1247</v>
      </c>
    </row>
    <row r="602" spans="1:6" x14ac:dyDescent="0.3">
      <c r="A602" s="275" t="s">
        <v>4320</v>
      </c>
      <c r="B602" s="290" t="s">
        <v>352</v>
      </c>
      <c r="C602" s="338">
        <v>0</v>
      </c>
      <c r="D602" s="297">
        <v>0</v>
      </c>
      <c r="F602" s="302">
        <v>0</v>
      </c>
    </row>
    <row r="603" spans="1:6" x14ac:dyDescent="0.3">
      <c r="A603" s="275" t="s">
        <v>4321</v>
      </c>
      <c r="B603" s="375"/>
    </row>
    <row r="604" spans="1:6" x14ac:dyDescent="0.3">
      <c r="A604" s="275" t="s">
        <v>4322</v>
      </c>
      <c r="B604" s="375"/>
    </row>
    <row r="605" spans="1:6" x14ac:dyDescent="0.3">
      <c r="A605" s="275" t="s">
        <v>4323</v>
      </c>
      <c r="B605" s="375"/>
    </row>
    <row r="606" spans="1:6" x14ac:dyDescent="0.3">
      <c r="A606" s="275" t="s">
        <v>4324</v>
      </c>
      <c r="B606" s="232"/>
    </row>
    <row r="607" spans="1:6" x14ac:dyDescent="0.3">
      <c r="A607" s="275" t="s">
        <v>4325</v>
      </c>
      <c r="B607" s="232"/>
    </row>
    <row r="608" spans="1:6" x14ac:dyDescent="0.3">
      <c r="A608" s="275" t="s">
        <v>4326</v>
      </c>
      <c r="B608" s="232"/>
    </row>
    <row r="609" spans="1:7" x14ac:dyDescent="0.3">
      <c r="A609" s="275" t="s">
        <v>4327</v>
      </c>
      <c r="B609" s="232"/>
    </row>
    <row r="610" spans="1:7" x14ac:dyDescent="0.3">
      <c r="A610" s="275" t="s">
        <v>4328</v>
      </c>
      <c r="B610" s="234"/>
    </row>
    <row r="611" spans="1:7" x14ac:dyDescent="0.3">
      <c r="A611" s="275" t="s">
        <v>4329</v>
      </c>
    </row>
    <row r="612" spans="1:7" x14ac:dyDescent="0.3">
      <c r="A612" s="275" t="s">
        <v>4330</v>
      </c>
    </row>
    <row r="613" spans="1:7" x14ac:dyDescent="0.3">
      <c r="A613" s="289"/>
      <c r="B613" s="289" t="s">
        <v>4331</v>
      </c>
      <c r="C613" s="289" t="s">
        <v>310</v>
      </c>
      <c r="D613" s="289" t="s">
        <v>1226</v>
      </c>
      <c r="E613" s="289"/>
      <c r="F613" s="289" t="s">
        <v>880</v>
      </c>
      <c r="G613" s="289"/>
    </row>
    <row r="614" spans="1:7" x14ac:dyDescent="0.3">
      <c r="A614" s="275" t="s">
        <v>4332</v>
      </c>
      <c r="B614" s="290" t="s">
        <v>1331</v>
      </c>
    </row>
    <row r="615" spans="1:7" x14ac:dyDescent="0.3">
      <c r="A615" s="275" t="s">
        <v>4333</v>
      </c>
      <c r="B615" s="337" t="s">
        <v>1333</v>
      </c>
    </row>
    <row r="616" spans="1:7" x14ac:dyDescent="0.3">
      <c r="A616" s="275" t="s">
        <v>4334</v>
      </c>
      <c r="B616" s="290" t="s">
        <v>1007</v>
      </c>
    </row>
    <row r="617" spans="1:7" x14ac:dyDescent="0.3">
      <c r="A617" s="275" t="s">
        <v>4335</v>
      </c>
      <c r="B617" s="275" t="s">
        <v>1247</v>
      </c>
    </row>
    <row r="618" spans="1:7" x14ac:dyDescent="0.3">
      <c r="A618" s="275" t="s">
        <v>4336</v>
      </c>
      <c r="B618" s="290" t="s">
        <v>352</v>
      </c>
      <c r="C618" s="338">
        <v>0</v>
      </c>
      <c r="D618" s="297">
        <v>0</v>
      </c>
      <c r="F618" s="302">
        <v>0</v>
      </c>
    </row>
    <row r="619" spans="1:7" x14ac:dyDescent="0.3">
      <c r="A619" s="229"/>
    </row>
    <row r="620" spans="1:7" x14ac:dyDescent="0.3">
      <c r="A620" s="289"/>
      <c r="B620" s="289" t="s">
        <v>1584</v>
      </c>
      <c r="C620" s="289" t="s">
        <v>310</v>
      </c>
      <c r="D620" s="289" t="s">
        <v>1504</v>
      </c>
      <c r="E620" s="289"/>
      <c r="F620" s="289" t="s">
        <v>879</v>
      </c>
      <c r="G620" s="289"/>
    </row>
    <row r="621" spans="1:7" x14ac:dyDescent="0.3">
      <c r="A621" s="275" t="s">
        <v>4337</v>
      </c>
      <c r="B621" s="194" t="s">
        <v>1229</v>
      </c>
    </row>
    <row r="622" spans="1:7" x14ac:dyDescent="0.3">
      <c r="A622" s="275" t="s">
        <v>4338</v>
      </c>
      <c r="B622" s="194" t="s">
        <v>1229</v>
      </c>
    </row>
    <row r="623" spans="1:7" x14ac:dyDescent="0.3">
      <c r="A623" s="275" t="s">
        <v>4339</v>
      </c>
      <c r="B623" s="194" t="s">
        <v>1229</v>
      </c>
    </row>
    <row r="624" spans="1:7" x14ac:dyDescent="0.3">
      <c r="A624" s="275" t="s">
        <v>4340</v>
      </c>
      <c r="B624" s="194" t="s">
        <v>1229</v>
      </c>
    </row>
    <row r="625" spans="1:6" x14ac:dyDescent="0.3">
      <c r="A625" s="275" t="s">
        <v>4341</v>
      </c>
      <c r="B625" s="194" t="s">
        <v>1229</v>
      </c>
    </row>
    <row r="626" spans="1:6" x14ac:dyDescent="0.3">
      <c r="A626" s="275" t="s">
        <v>4342</v>
      </c>
      <c r="B626" s="194" t="s">
        <v>1229</v>
      </c>
    </row>
    <row r="627" spans="1:6" x14ac:dyDescent="0.3">
      <c r="A627" s="275" t="s">
        <v>4343</v>
      </c>
      <c r="B627" s="194" t="s">
        <v>1229</v>
      </c>
    </row>
    <row r="628" spans="1:6" x14ac:dyDescent="0.3">
      <c r="A628" s="275" t="s">
        <v>4344</v>
      </c>
      <c r="B628" s="194" t="s">
        <v>1229</v>
      </c>
    </row>
    <row r="629" spans="1:6" x14ac:dyDescent="0.3">
      <c r="A629" s="275" t="s">
        <v>4345</v>
      </c>
      <c r="B629" s="194" t="s">
        <v>1229</v>
      </c>
    </row>
    <row r="630" spans="1:6" x14ac:dyDescent="0.3">
      <c r="A630" s="275" t="s">
        <v>4346</v>
      </c>
      <c r="B630" s="194" t="s">
        <v>1229</v>
      </c>
    </row>
    <row r="631" spans="1:6" x14ac:dyDescent="0.3">
      <c r="A631" s="275" t="s">
        <v>4347</v>
      </c>
      <c r="B631" s="194" t="s">
        <v>1229</v>
      </c>
    </row>
    <row r="632" spans="1:6" x14ac:dyDescent="0.3">
      <c r="A632" s="275" t="s">
        <v>4348</v>
      </c>
      <c r="B632" s="194" t="s">
        <v>1229</v>
      </c>
    </row>
    <row r="633" spans="1:6" x14ac:dyDescent="0.3">
      <c r="A633" s="275" t="s">
        <v>4349</v>
      </c>
      <c r="B633" s="194" t="s">
        <v>1229</v>
      </c>
    </row>
    <row r="634" spans="1:6" x14ac:dyDescent="0.3">
      <c r="A634" s="275" t="s">
        <v>4350</v>
      </c>
      <c r="B634" s="194" t="s">
        <v>1229</v>
      </c>
    </row>
    <row r="635" spans="1:6" x14ac:dyDescent="0.3">
      <c r="A635" s="275" t="s">
        <v>4351</v>
      </c>
      <c r="B635" s="194" t="s">
        <v>1229</v>
      </c>
    </row>
    <row r="636" spans="1:6" x14ac:dyDescent="0.3">
      <c r="A636" s="275" t="s">
        <v>4352</v>
      </c>
      <c r="B636" s="194" t="s">
        <v>1229</v>
      </c>
    </row>
    <row r="637" spans="1:6" x14ac:dyDescent="0.3">
      <c r="A637" s="275" t="s">
        <v>4353</v>
      </c>
      <c r="B637" s="194" t="s">
        <v>1229</v>
      </c>
    </row>
    <row r="638" spans="1:6" x14ac:dyDescent="0.3">
      <c r="A638" s="275" t="s">
        <v>4354</v>
      </c>
      <c r="B638" s="194" t="s">
        <v>1247</v>
      </c>
    </row>
    <row r="639" spans="1:6" x14ac:dyDescent="0.3">
      <c r="A639" s="275" t="s">
        <v>4355</v>
      </c>
      <c r="B639" s="297" t="s">
        <v>352</v>
      </c>
      <c r="C639" s="297">
        <v>0</v>
      </c>
      <c r="D639" s="297">
        <v>0</v>
      </c>
      <c r="F639" s="302">
        <v>0</v>
      </c>
    </row>
  </sheetData>
  <protectedRanges>
    <protectedRange sqref="E26:E29 C48:D48 C14:D34 F18:G18 G26:G29 F29" name="Optional ECBECAIs_2_4"/>
    <protectedRange sqref="B531" name="Mortgage Assets III_1_3"/>
  </protectedRanges>
  <mergeCells count="8">
    <mergeCell ref="E12:F12"/>
    <mergeCell ref="B13:D13"/>
    <mergeCell ref="B24:D24"/>
    <mergeCell ref="B6:C6"/>
    <mergeCell ref="B7:C7"/>
    <mergeCell ref="B8:C8"/>
    <mergeCell ref="B9:C9"/>
    <mergeCell ref="B10:C10"/>
  </mergeCells>
  <phoneticPr fontId="80" type="noConversion"/>
  <hyperlinks>
    <hyperlink ref="B7" location="'F1. Sustainable M data'!B14" display="1.  Share of sustainable loans in the total mortgage program" xr:uid="{00000000-0004-0000-1100-000000000000}"/>
    <hyperlink ref="C7" location="'F1. Sustainable M data'!B14" display="'F1. Sustainable M data'!B14" xr:uid="{00000000-0004-0000-1100-000001000000}"/>
    <hyperlink ref="B8" location="'F1. Sustainable M data'!B25" display="2. Additional information on the sustainable section of the mortgage stock" xr:uid="{00000000-0004-0000-1100-000002000000}"/>
    <hyperlink ref="C8" location="'F1. Sustainable M data'!B25" display="'F1. Sustainable M data'!B25" xr:uid="{00000000-0004-0000-1100-000003000000}"/>
    <hyperlink ref="B10" location="'F1. Sustainable M data'!B444" display="2B. Sustainable Commercial Cover Pool" xr:uid="{00000000-0004-0000-1100-000004000000}"/>
    <hyperlink ref="C10" location="'F1. Sustainable M data'!B444" display="'F1. Sustainable M data'!B444" xr:uid="{00000000-0004-0000-1100-000005000000}"/>
    <hyperlink ref="B9" location="'F1. Sustainable M data'!B210" display="2A. Sustainable Residential Cover Pool" xr:uid="{00000000-0004-0000-1100-000006000000}"/>
    <hyperlink ref="C9" location="'F1. Sustainable M data'!B210" display="'F1. Sustainable M data'!B210" xr:uid="{00000000-0004-0000-1100-000007000000}"/>
  </hyperlink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20318-AC04-48E4-8FE8-7D71315416B6}">
  <dimension ref="A1"/>
  <sheetViews>
    <sheetView zoomScale="80" zoomScaleNormal="80" workbookViewId="0">
      <selection activeCell="F23" sqref="F23"/>
    </sheetView>
  </sheetViews>
  <sheetFormatPr baseColWidth="10" defaultColWidth="11.44140625" defaultRowHeight="14.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A1E7-1827-4396-B83C-4D7F977B51E7}">
  <sheetPr codeName="Sheet1">
    <tabColor rgb="FF847A75"/>
  </sheetPr>
  <dimension ref="B1:J43"/>
  <sheetViews>
    <sheetView zoomScale="80" zoomScaleNormal="80" workbookViewId="0">
      <selection activeCell="F10" sqref="F10"/>
    </sheetView>
  </sheetViews>
  <sheetFormatPr baseColWidth="10" defaultColWidth="9.33203125" defaultRowHeight="14.4" x14ac:dyDescent="0.3"/>
  <cols>
    <col min="1" max="1" width="8.6640625" customWidth="1"/>
    <col min="2" max="5" width="12.44140625" customWidth="1"/>
    <col min="6" max="6" width="18.6640625" customWidth="1"/>
    <col min="7" max="7" width="19.33203125" customWidth="1"/>
    <col min="8" max="10" width="12.44140625" customWidth="1"/>
    <col min="11" max="18" width="8.6640625" customWidth="1"/>
  </cols>
  <sheetData>
    <row r="1" spans="2:10" ht="15.75" customHeight="1" x14ac:dyDescent="0.3"/>
    <row r="2" spans="2:10" x14ac:dyDescent="0.3">
      <c r="B2" s="1"/>
      <c r="C2" s="2"/>
      <c r="D2" s="2"/>
      <c r="E2" s="2"/>
      <c r="F2" s="2"/>
      <c r="G2" s="2"/>
      <c r="H2" s="2"/>
      <c r="I2" s="2"/>
      <c r="J2" s="3"/>
    </row>
    <row r="3" spans="2:10" x14ac:dyDescent="0.3">
      <c r="B3" s="4"/>
      <c r="C3" s="177"/>
      <c r="D3" s="177"/>
      <c r="E3" s="177"/>
      <c r="F3" s="177"/>
      <c r="G3" s="177"/>
      <c r="H3" s="177"/>
      <c r="I3" s="177"/>
      <c r="J3" s="5"/>
    </row>
    <row r="4" spans="2:10" x14ac:dyDescent="0.3">
      <c r="B4" s="4"/>
      <c r="C4" s="177"/>
      <c r="D4" s="177"/>
      <c r="E4" s="177"/>
      <c r="F4" s="177"/>
      <c r="G4" s="177"/>
      <c r="H4" s="177"/>
      <c r="I4" s="177"/>
      <c r="J4" s="5"/>
    </row>
    <row r="5" spans="2:10" ht="31.5" customHeight="1" x14ac:dyDescent="0.35">
      <c r="B5" s="4"/>
      <c r="C5" s="177"/>
      <c r="D5" s="177"/>
      <c r="E5" s="246"/>
      <c r="F5" s="195" t="s">
        <v>161</v>
      </c>
      <c r="G5" s="177"/>
      <c r="H5" s="177"/>
      <c r="I5" s="177"/>
      <c r="J5" s="5"/>
    </row>
    <row r="6" spans="2:10" ht="41.25" customHeight="1" x14ac:dyDescent="0.3">
      <c r="B6" s="4"/>
      <c r="C6" s="177"/>
      <c r="D6" s="177"/>
      <c r="E6" s="611" t="s">
        <v>162</v>
      </c>
      <c r="F6" s="611"/>
      <c r="G6" s="611"/>
      <c r="H6" s="177"/>
      <c r="I6" s="177"/>
      <c r="J6" s="5"/>
    </row>
    <row r="7" spans="2:10" ht="26.25" customHeight="1" x14ac:dyDescent="0.3">
      <c r="B7" s="4"/>
      <c r="C7" s="177"/>
      <c r="D7" s="177"/>
      <c r="E7" s="177"/>
      <c r="F7" s="247" t="s">
        <v>163</v>
      </c>
      <c r="G7" s="177"/>
      <c r="H7" s="177"/>
      <c r="I7" s="177"/>
      <c r="J7" s="5"/>
    </row>
    <row r="8" spans="2:10" ht="26.25" customHeight="1" x14ac:dyDescent="0.3">
      <c r="B8" s="4"/>
      <c r="C8" s="177"/>
      <c r="D8" s="177"/>
      <c r="E8" s="177"/>
      <c r="F8" s="247" t="s">
        <v>164</v>
      </c>
      <c r="G8" s="177"/>
      <c r="H8" s="177"/>
      <c r="I8" s="177"/>
      <c r="J8" s="5"/>
    </row>
    <row r="9" spans="2:10" ht="21" customHeight="1" x14ac:dyDescent="0.4">
      <c r="B9" s="4"/>
      <c r="C9" s="177"/>
      <c r="D9" s="177"/>
      <c r="E9" s="177"/>
      <c r="F9" s="248" t="s">
        <v>165</v>
      </c>
      <c r="G9" s="249">
        <v>46223.443298611099</v>
      </c>
      <c r="H9" s="177"/>
      <c r="I9" s="177"/>
      <c r="J9" s="5"/>
    </row>
    <row r="10" spans="2:10" ht="21" customHeight="1" x14ac:dyDescent="0.4">
      <c r="B10" s="4"/>
      <c r="C10" s="177"/>
      <c r="D10" s="177"/>
      <c r="E10" s="177"/>
      <c r="F10" s="248" t="s">
        <v>166</v>
      </c>
      <c r="G10" s="249">
        <v>46203</v>
      </c>
      <c r="H10" s="177"/>
      <c r="I10" s="177"/>
      <c r="J10" s="5"/>
    </row>
    <row r="11" spans="2:10" ht="21" customHeight="1" x14ac:dyDescent="0.3">
      <c r="B11" s="4"/>
      <c r="C11" s="177"/>
      <c r="D11" s="177"/>
      <c r="E11" s="177"/>
      <c r="F11" s="248"/>
      <c r="G11" s="177"/>
      <c r="H11" s="177"/>
      <c r="I11" s="177"/>
      <c r="J11" s="5"/>
    </row>
    <row r="12" spans="2:10" x14ac:dyDescent="0.3">
      <c r="B12" s="4"/>
      <c r="C12" s="177"/>
      <c r="D12" s="177"/>
      <c r="E12" s="177"/>
      <c r="F12" s="177"/>
      <c r="G12" s="177"/>
      <c r="H12" s="177"/>
      <c r="I12" s="177"/>
      <c r="J12" s="5"/>
    </row>
    <row r="13" spans="2:10" x14ac:dyDescent="0.3">
      <c r="B13" s="4"/>
      <c r="C13" s="177"/>
      <c r="D13" s="177"/>
      <c r="E13" s="177"/>
      <c r="F13" s="177"/>
      <c r="G13" s="177"/>
      <c r="H13" s="177"/>
      <c r="I13" s="177"/>
      <c r="J13" s="5"/>
    </row>
    <row r="14" spans="2:10" x14ac:dyDescent="0.3">
      <c r="B14" s="4"/>
      <c r="C14" s="177"/>
      <c r="D14" s="177"/>
      <c r="E14" s="177"/>
      <c r="F14" s="177"/>
      <c r="G14" s="177"/>
      <c r="H14" s="177"/>
      <c r="I14" s="177"/>
      <c r="J14" s="5"/>
    </row>
    <row r="15" spans="2:10" x14ac:dyDescent="0.3">
      <c r="B15" s="4"/>
      <c r="C15" s="177"/>
      <c r="D15" s="177"/>
      <c r="E15" s="177"/>
      <c r="F15" s="177"/>
      <c r="G15" s="177"/>
      <c r="H15" s="177"/>
      <c r="I15" s="177"/>
      <c r="J15" s="5"/>
    </row>
    <row r="16" spans="2:10" x14ac:dyDescent="0.3">
      <c r="B16" s="4"/>
      <c r="C16" s="177"/>
      <c r="D16" s="177"/>
      <c r="E16" s="177"/>
      <c r="F16" s="177"/>
      <c r="G16" s="177"/>
      <c r="H16" s="177"/>
      <c r="I16" s="177"/>
      <c r="J16" s="5"/>
    </row>
    <row r="17" spans="2:10" x14ac:dyDescent="0.3">
      <c r="B17" s="4"/>
      <c r="C17" s="177"/>
      <c r="D17" s="177"/>
      <c r="E17" s="177"/>
      <c r="F17" s="177"/>
      <c r="G17" s="177"/>
      <c r="H17" s="177"/>
      <c r="I17" s="177"/>
      <c r="J17" s="5"/>
    </row>
    <row r="18" spans="2:10" x14ac:dyDescent="0.3">
      <c r="B18" s="4"/>
      <c r="C18" s="177"/>
      <c r="D18" s="177"/>
      <c r="E18" s="177"/>
      <c r="F18" s="177"/>
      <c r="G18" s="177"/>
      <c r="H18" s="177"/>
      <c r="I18" s="177"/>
      <c r="J18" s="5"/>
    </row>
    <row r="19" spans="2:10" x14ac:dyDescent="0.3">
      <c r="B19" s="4"/>
      <c r="C19" s="177"/>
      <c r="D19" s="177"/>
      <c r="E19" s="177"/>
      <c r="F19" s="177"/>
      <c r="G19" s="177"/>
      <c r="H19" s="177"/>
      <c r="I19" s="177"/>
      <c r="J19" s="5"/>
    </row>
    <row r="20" spans="2:10" x14ac:dyDescent="0.3">
      <c r="B20" s="4"/>
      <c r="C20" s="177"/>
      <c r="D20" s="177"/>
      <c r="E20" s="177"/>
      <c r="F20" s="177"/>
      <c r="G20" s="177"/>
      <c r="H20" s="177"/>
      <c r="I20" s="177"/>
      <c r="J20" s="5"/>
    </row>
    <row r="21" spans="2:10" x14ac:dyDescent="0.3">
      <c r="B21" s="4"/>
      <c r="C21" s="177"/>
      <c r="D21" s="177"/>
      <c r="E21" s="177"/>
      <c r="F21" s="177"/>
      <c r="G21" s="177"/>
      <c r="H21" s="177"/>
      <c r="I21" s="177"/>
      <c r="J21" s="5"/>
    </row>
    <row r="22" spans="2:10" x14ac:dyDescent="0.3">
      <c r="B22" s="4"/>
      <c r="C22" s="177"/>
      <c r="D22" s="177"/>
      <c r="E22" s="177"/>
      <c r="F22" s="250" t="s">
        <v>167</v>
      </c>
      <c r="G22" s="177"/>
      <c r="H22" s="177"/>
      <c r="I22" s="177"/>
      <c r="J22" s="5"/>
    </row>
    <row r="23" spans="2:10" x14ac:dyDescent="0.3">
      <c r="B23" s="4"/>
      <c r="C23" s="177"/>
      <c r="D23" s="177"/>
      <c r="E23" s="177"/>
      <c r="F23" s="251"/>
      <c r="G23" s="177"/>
      <c r="H23" s="177"/>
      <c r="I23" s="177"/>
      <c r="J23" s="5"/>
    </row>
    <row r="24" spans="2:10" x14ac:dyDescent="0.3">
      <c r="B24" s="4"/>
      <c r="C24" s="177"/>
      <c r="D24" s="612" t="s">
        <v>168</v>
      </c>
      <c r="E24" s="613" t="s">
        <v>169</v>
      </c>
      <c r="F24" s="613"/>
      <c r="G24" s="613"/>
      <c r="H24" s="613"/>
      <c r="I24" s="177"/>
      <c r="J24" s="5"/>
    </row>
    <row r="25" spans="2:10" x14ac:dyDescent="0.3">
      <c r="B25" s="4"/>
      <c r="C25" s="177"/>
      <c r="D25" s="177"/>
      <c r="H25" s="177"/>
      <c r="I25" s="177"/>
      <c r="J25" s="5"/>
    </row>
    <row r="26" spans="2:10" x14ac:dyDescent="0.3">
      <c r="B26" s="4"/>
      <c r="C26" s="177"/>
      <c r="D26" s="612" t="s">
        <v>170</v>
      </c>
      <c r="E26" s="613"/>
      <c r="F26" s="613"/>
      <c r="G26" s="613"/>
      <c r="H26" s="613"/>
      <c r="I26" s="177"/>
      <c r="J26" s="5"/>
    </row>
    <row r="27" spans="2:10" x14ac:dyDescent="0.3">
      <c r="B27" s="4"/>
      <c r="C27" s="177"/>
      <c r="D27" s="9"/>
      <c r="E27" s="9"/>
      <c r="F27" s="9"/>
      <c r="G27" s="9"/>
      <c r="H27" s="9"/>
      <c r="I27" s="177"/>
      <c r="J27" s="5"/>
    </row>
    <row r="28" spans="2:10" x14ac:dyDescent="0.3">
      <c r="B28" s="4"/>
      <c r="C28" s="177"/>
      <c r="D28" s="612" t="s">
        <v>171</v>
      </c>
      <c r="E28" s="613"/>
      <c r="F28" s="613"/>
      <c r="G28" s="613"/>
      <c r="H28" s="613"/>
      <c r="I28" s="177"/>
      <c r="J28" s="5"/>
    </row>
    <row r="29" spans="2:10" x14ac:dyDescent="0.3">
      <c r="B29" s="4"/>
      <c r="C29" s="177"/>
      <c r="D29" s="9"/>
      <c r="E29" s="9"/>
      <c r="F29" s="9"/>
      <c r="G29" s="9"/>
      <c r="H29" s="9"/>
      <c r="I29" s="177"/>
      <c r="J29" s="5"/>
    </row>
    <row r="30" spans="2:10" x14ac:dyDescent="0.3">
      <c r="B30" s="4"/>
      <c r="C30" s="177"/>
      <c r="D30" s="612" t="s">
        <v>172</v>
      </c>
      <c r="E30" s="613" t="s">
        <v>169</v>
      </c>
      <c r="F30" s="613"/>
      <c r="G30" s="613"/>
      <c r="H30" s="613"/>
      <c r="I30" s="177"/>
      <c r="J30" s="5"/>
    </row>
    <row r="31" spans="2:10" x14ac:dyDescent="0.3">
      <c r="B31" s="4"/>
      <c r="C31" s="177"/>
      <c r="D31" s="9"/>
      <c r="E31" s="9"/>
      <c r="F31" s="9"/>
      <c r="G31" s="9"/>
      <c r="H31" s="9"/>
      <c r="I31" s="177"/>
      <c r="J31" s="5"/>
    </row>
    <row r="32" spans="2:10" x14ac:dyDescent="0.3">
      <c r="B32" s="4"/>
      <c r="C32" s="177"/>
      <c r="D32" s="612" t="s">
        <v>173</v>
      </c>
      <c r="E32" s="613" t="s">
        <v>169</v>
      </c>
      <c r="F32" s="613"/>
      <c r="G32" s="613"/>
      <c r="H32" s="613"/>
      <c r="I32" s="177"/>
      <c r="J32" s="5"/>
    </row>
    <row r="33" spans="2:10" x14ac:dyDescent="0.3">
      <c r="B33" s="4"/>
      <c r="C33" s="177"/>
      <c r="I33" s="177"/>
      <c r="J33" s="5"/>
    </row>
    <row r="34" spans="2:10" x14ac:dyDescent="0.3">
      <c r="B34" s="4"/>
      <c r="C34" s="177"/>
      <c r="D34" s="612" t="s">
        <v>174</v>
      </c>
      <c r="E34" s="613" t="s">
        <v>169</v>
      </c>
      <c r="F34" s="613"/>
      <c r="G34" s="613"/>
      <c r="H34" s="613"/>
      <c r="I34" s="177"/>
      <c r="J34" s="5"/>
    </row>
    <row r="35" spans="2:10" x14ac:dyDescent="0.3">
      <c r="B35" s="4"/>
      <c r="C35" s="177"/>
      <c r="D35" s="177"/>
      <c r="E35" s="177"/>
      <c r="F35" s="177"/>
      <c r="G35" s="177"/>
      <c r="H35" s="177"/>
      <c r="I35" s="177"/>
      <c r="J35" s="5"/>
    </row>
    <row r="36" spans="2:10" x14ac:dyDescent="0.3">
      <c r="B36" s="4"/>
      <c r="C36" s="177"/>
      <c r="D36" s="614" t="s">
        <v>175</v>
      </c>
      <c r="E36" s="615"/>
      <c r="F36" s="615"/>
      <c r="G36" s="615"/>
      <c r="H36" s="615"/>
      <c r="I36" s="177"/>
      <c r="J36" s="5"/>
    </row>
    <row r="37" spans="2:10" x14ac:dyDescent="0.3">
      <c r="B37" s="4"/>
      <c r="C37" s="177"/>
      <c r="D37" s="177"/>
      <c r="E37" s="177"/>
      <c r="F37" s="251"/>
      <c r="G37" s="177"/>
      <c r="H37" s="177"/>
      <c r="I37" s="177"/>
      <c r="J37" s="5"/>
    </row>
    <row r="38" spans="2:10" x14ac:dyDescent="0.3">
      <c r="B38" s="4"/>
      <c r="C38" s="177"/>
      <c r="D38" s="614" t="s">
        <v>176</v>
      </c>
      <c r="E38" s="615"/>
      <c r="F38" s="615"/>
      <c r="G38" s="615"/>
      <c r="H38" s="615"/>
      <c r="I38" s="177"/>
      <c r="J38" s="5"/>
    </row>
    <row r="39" spans="2:10" x14ac:dyDescent="0.3">
      <c r="B39" s="4"/>
      <c r="C39" s="177"/>
      <c r="D39" s="177"/>
      <c r="E39" s="177"/>
      <c r="F39" s="177"/>
      <c r="G39" s="177"/>
      <c r="H39" s="177"/>
      <c r="I39" s="177"/>
      <c r="J39" s="5"/>
    </row>
    <row r="40" spans="2:10" x14ac:dyDescent="0.3">
      <c r="B40" s="4"/>
      <c r="C40" s="177"/>
      <c r="D40" s="614" t="s">
        <v>177</v>
      </c>
      <c r="E40" s="615" t="s">
        <v>169</v>
      </c>
      <c r="F40" s="615"/>
      <c r="G40" s="615"/>
      <c r="H40" s="615"/>
      <c r="I40" s="177"/>
      <c r="J40" s="5"/>
    </row>
    <row r="41" spans="2:10" x14ac:dyDescent="0.3">
      <c r="B41" s="4"/>
      <c r="C41" s="177"/>
      <c r="D41" s="177"/>
      <c r="E41" s="9"/>
      <c r="F41" s="9"/>
      <c r="G41" s="9"/>
      <c r="H41" s="9"/>
      <c r="I41" s="177"/>
      <c r="J41" s="5"/>
    </row>
    <row r="42" spans="2:10" x14ac:dyDescent="0.3">
      <c r="B42" s="4"/>
      <c r="C42" s="177"/>
      <c r="D42" s="177"/>
      <c r="E42" s="177"/>
      <c r="F42" s="177"/>
      <c r="G42" s="177"/>
      <c r="H42" s="177"/>
      <c r="I42" s="177"/>
      <c r="J42" s="5"/>
    </row>
    <row r="43" spans="2:10" ht="15.75" customHeight="1" x14ac:dyDescent="0.3">
      <c r="B43" s="6"/>
      <c r="C43" s="7"/>
      <c r="D43" s="7"/>
      <c r="E43" s="7"/>
      <c r="F43" s="7"/>
      <c r="G43" s="7"/>
      <c r="H43" s="7"/>
      <c r="I43" s="7"/>
      <c r="J43" s="8"/>
    </row>
  </sheetData>
  <mergeCells count="10">
    <mergeCell ref="D32:H32"/>
    <mergeCell ref="D34:H34"/>
    <mergeCell ref="D36:H36"/>
    <mergeCell ref="D38:H38"/>
    <mergeCell ref="D40:H40"/>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32" location="'C. HTT Harmonised Glossary'!A1" display="Worksheet C: HTT Harmonised Glossary" xr:uid="{00000000-0004-0000-0100-00000A000000}"/>
    <hyperlink ref="E32" location="'C. HTT Harmonised Glossary'!A1" display="Tab 1: Harmonised Transparency Template" xr:uid="{00000000-0004-0000-0100-00000B000000}"/>
    <hyperlink ref="F32" location="'C. HTT Harmonised Glossary'!A1" display="'C. HTT Harmonised Glossary'!A1" xr:uid="{00000000-0004-0000-0100-00000C000000}"/>
    <hyperlink ref="G32" location="'C. HTT Harmonised Glossary'!A1" display="'C. HTT Harmonised Glossary'!A1" xr:uid="{00000000-0004-0000-0100-00000D000000}"/>
    <hyperlink ref="H32" location="'C. HTT Harmonised Glossary'!A1" display="'C. HTT Harmonised Glossary'!A1" xr:uid="{00000000-0004-0000-0100-00000E000000}"/>
    <hyperlink ref="D34" location="Disclaimer!A1" display="Covered Bond Label Disclaimer" xr:uid="{00000000-0004-0000-0100-00000F000000}"/>
    <hyperlink ref="E34" location="Disclaimer!A1" display="Tab 1: Harmonised Transparency Template" xr:uid="{00000000-0004-0000-0100-000010000000}"/>
    <hyperlink ref="F34" location="Disclaimer!A1" display="Disclaimer!A1" xr:uid="{00000000-0004-0000-0100-000011000000}"/>
    <hyperlink ref="G34" location="Disclaimer!A1" display="Disclaimer!A1" xr:uid="{00000000-0004-0000-0100-000012000000}"/>
    <hyperlink ref="H34" location="Disclaimer!A1" display="Disclaimer!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28" location="'B2. HTT Public Sector Assets'!A1" display="Worksheet B2: HTT Public Sector Assets" xr:uid="{00000000-0004-0000-0100-000019000000}"/>
    <hyperlink ref="E28" location="'B2. HTT Public Sector Assets'!A1" display="'B2. HTT Public Sector Assets'!A1" xr:uid="{00000000-0004-0000-0100-00001A000000}"/>
    <hyperlink ref="F28" location="'B2. HTT Public Sector Assets'!A1" display="'B2. HTT Public Sector Assets'!A1" xr:uid="{00000000-0004-0000-0100-00001B000000}"/>
    <hyperlink ref="G28" location="'B2. HTT Public Sector Assets'!A1" display="'B2. HTT Public Sector Assets'!A1" xr:uid="{00000000-0004-0000-0100-00001C000000}"/>
    <hyperlink ref="H28" location="'B2. HTT Public Sector Assets'!A1" display="'B2. HTT Public Sector Assets'!A1" xr:uid="{00000000-0004-0000-0100-00001D000000}"/>
    <hyperlink ref="D38" location="'E. Optional ECB-ECAIs data'!A1" display="Worksheet E: Optional ECB-ECAIs data" xr:uid="{00000000-0004-0000-0100-00001E000000}"/>
    <hyperlink ref="E38" location="'E. Optional ECB-ECAIs data'!A1" display="'E. Optional ECB-ECAIs data'!A1" xr:uid="{00000000-0004-0000-0100-00001F000000}"/>
    <hyperlink ref="F38" location="'E. Optional ECB-ECAIs data'!A1" display="'E. Optional ECB-ECAIs data'!A1" xr:uid="{00000000-0004-0000-0100-000020000000}"/>
    <hyperlink ref="G38" location="'E. Optional ECB-ECAIs data'!A1" display="'E. Optional ECB-ECAIs data'!A1" xr:uid="{00000000-0004-0000-0100-000021000000}"/>
    <hyperlink ref="H38" location="'E. Optional ECB-ECAIs data'!A1" display="'E. Optional ECB-ECAIs data'!A1" xr:uid="{00000000-0004-0000-0100-000022000000}"/>
    <hyperlink ref="D40" location="'F1. Sustainable M data'!A1" display="Worksheet F1: Sustainable M data" xr:uid="{00000000-0004-0000-0100-000023000000}"/>
    <hyperlink ref="E40" location="'F1. Sustainable M data'!A1" display="Tab 1: Harmonised Transparency Template" xr:uid="{00000000-0004-0000-0100-000024000000}"/>
    <hyperlink ref="F40" location="'F1. Sustainable M data'!A1" display="'F1. Sustainable M data'!A1" xr:uid="{00000000-0004-0000-0100-000025000000}"/>
    <hyperlink ref="G40" location="'F1. Sustainable M data'!A1" display="'F1. Sustainable M data'!A1" xr:uid="{00000000-0004-0000-0100-000026000000}"/>
    <hyperlink ref="H40" location="'F1. Sustainable M data'!A1" display="'F1. Sustainable M data'!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6363-D9DE-4E64-9896-EA306A3B4208}">
  <dimension ref="A1"/>
  <sheetViews>
    <sheetView zoomScale="80" zoomScaleNormal="80" workbookViewId="0">
      <selection activeCell="Q17" sqref="Q17"/>
    </sheetView>
  </sheetViews>
  <sheetFormatPr baseColWidth="10" defaultColWidth="11.44140625" defaultRowHeight="14.4" x14ac:dyDescent="0.3"/>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3326-F48E-48FB-8B52-A37D3DF833AE}">
  <sheetPr>
    <tabColor rgb="FFFF0000"/>
  </sheetPr>
  <dimension ref="A1:G500"/>
  <sheetViews>
    <sheetView workbookViewId="0">
      <selection activeCell="J17" sqref="J17"/>
    </sheetView>
  </sheetViews>
  <sheetFormatPr baseColWidth="10" defaultColWidth="11.44140625" defaultRowHeight="13.2" x14ac:dyDescent="0.25"/>
  <cols>
    <col min="1" max="1" width="8.5546875" style="35" customWidth="1"/>
    <col min="2" max="4" width="8.5546875" style="37" customWidth="1"/>
    <col min="5" max="5" width="14.33203125" style="35" bestFit="1" customWidth="1"/>
    <col min="6" max="6" width="10.6640625" style="35" bestFit="1" customWidth="1"/>
    <col min="7" max="7" width="9.44140625" style="35" bestFit="1" customWidth="1"/>
    <col min="8" max="8" width="11.44140625" style="29" customWidth="1"/>
    <col min="9" max="16384" width="11.44140625" style="29"/>
  </cols>
  <sheetData>
    <row r="1" spans="1:7" x14ac:dyDescent="0.25">
      <c r="A1" s="547" t="s">
        <v>4356</v>
      </c>
      <c r="B1" s="548"/>
      <c r="C1" s="549">
        <f>'D1.Overview'!C4</f>
        <v>46203</v>
      </c>
      <c r="D1" s="550"/>
    </row>
    <row r="2" spans="1:7" x14ac:dyDescent="0.25">
      <c r="E2" s="647" t="s">
        <v>4357</v>
      </c>
      <c r="F2" s="648"/>
      <c r="G2" s="649"/>
    </row>
    <row r="3" spans="1:7" x14ac:dyDescent="0.25">
      <c r="E3" s="650"/>
      <c r="F3" s="651"/>
      <c r="G3" s="652"/>
    </row>
    <row r="4" spans="1:7" x14ac:dyDescent="0.25">
      <c r="E4" s="650"/>
      <c r="F4" s="651"/>
      <c r="G4" s="652"/>
    </row>
    <row r="5" spans="1:7" x14ac:dyDescent="0.25">
      <c r="E5" s="650"/>
      <c r="F5" s="651"/>
      <c r="G5" s="652"/>
    </row>
    <row r="6" spans="1:7" x14ac:dyDescent="0.25">
      <c r="E6" s="650"/>
      <c r="F6" s="651"/>
      <c r="G6" s="652"/>
    </row>
    <row r="7" spans="1:7" x14ac:dyDescent="0.25">
      <c r="E7" s="650"/>
      <c r="F7" s="651"/>
      <c r="G7" s="652"/>
    </row>
    <row r="8" spans="1:7" x14ac:dyDescent="0.25">
      <c r="B8" s="20"/>
      <c r="C8" s="20"/>
      <c r="D8" s="20"/>
      <c r="E8" s="653"/>
      <c r="F8" s="654"/>
      <c r="G8" s="655"/>
    </row>
    <row r="9" spans="1:7" ht="20.25" customHeight="1" x14ac:dyDescent="0.25">
      <c r="B9" s="20"/>
      <c r="C9" s="20"/>
      <c r="D9" s="20"/>
      <c r="E9" s="551"/>
      <c r="F9" s="552"/>
      <c r="G9" s="553"/>
    </row>
    <row r="10" spans="1:7" ht="22.5" customHeight="1" x14ac:dyDescent="0.25">
      <c r="A10" s="75"/>
      <c r="E10" s="554" t="s">
        <v>4358</v>
      </c>
      <c r="F10" s="555" t="s">
        <v>4359</v>
      </c>
      <c r="G10" s="556" t="s">
        <v>4360</v>
      </c>
    </row>
    <row r="11" spans="1:7" x14ac:dyDescent="0.25">
      <c r="A11" s="75"/>
      <c r="E11" s="557" t="s">
        <v>4361</v>
      </c>
      <c r="F11" s="558" t="s">
        <v>4362</v>
      </c>
      <c r="G11" s="559" t="s">
        <v>4363</v>
      </c>
    </row>
    <row r="12" spans="1:7" x14ac:dyDescent="0.25">
      <c r="A12" s="38">
        <f>EOMONTH(C1,0)</f>
        <v>46203</v>
      </c>
      <c r="B12" s="39" t="s">
        <v>4364</v>
      </c>
      <c r="C12" s="560">
        <v>46203</v>
      </c>
      <c r="D12" s="40">
        <v>1</v>
      </c>
      <c r="E12" s="561">
        <v>64045500000</v>
      </c>
      <c r="F12" s="562">
        <v>0</v>
      </c>
      <c r="G12" s="563">
        <v>91452450</v>
      </c>
    </row>
    <row r="13" spans="1:7" x14ac:dyDescent="0.25">
      <c r="A13" s="38">
        <f t="shared" ref="A13:A76" si="0">EOMONTH(A12,1)</f>
        <v>46234</v>
      </c>
      <c r="B13" s="39" t="s">
        <v>4365</v>
      </c>
      <c r="C13" s="560">
        <v>46234</v>
      </c>
      <c r="D13" s="40">
        <v>2</v>
      </c>
      <c r="E13" s="561">
        <v>64045500000</v>
      </c>
      <c r="F13" s="562">
        <v>0</v>
      </c>
      <c r="G13" s="563">
        <v>89626750</v>
      </c>
    </row>
    <row r="14" spans="1:7" x14ac:dyDescent="0.25">
      <c r="A14" s="38">
        <f t="shared" si="0"/>
        <v>46265</v>
      </c>
      <c r="B14" s="39" t="s">
        <v>4366</v>
      </c>
      <c r="C14" s="560">
        <v>46265</v>
      </c>
      <c r="D14" s="40">
        <v>3</v>
      </c>
      <c r="E14" s="561">
        <v>64045500000</v>
      </c>
      <c r="F14" s="562">
        <v>0</v>
      </c>
      <c r="G14" s="563">
        <v>38254750</v>
      </c>
    </row>
    <row r="15" spans="1:7" x14ac:dyDescent="0.25">
      <c r="A15" s="38">
        <f t="shared" si="0"/>
        <v>46295</v>
      </c>
      <c r="B15" s="39" t="s">
        <v>4367</v>
      </c>
      <c r="C15" s="560">
        <v>46295</v>
      </c>
      <c r="D15" s="40">
        <v>4</v>
      </c>
      <c r="E15" s="561">
        <v>64045500000</v>
      </c>
      <c r="F15" s="562">
        <v>5000000</v>
      </c>
      <c r="G15" s="563">
        <v>19790650</v>
      </c>
    </row>
    <row r="16" spans="1:7" x14ac:dyDescent="0.25">
      <c r="A16" s="38">
        <f t="shared" si="0"/>
        <v>46326</v>
      </c>
      <c r="B16" s="39" t="s">
        <v>4368</v>
      </c>
      <c r="C16" s="560">
        <v>46326</v>
      </c>
      <c r="D16" s="40">
        <v>5</v>
      </c>
      <c r="E16" s="561">
        <v>64040500000</v>
      </c>
      <c r="F16" s="562">
        <v>0</v>
      </c>
      <c r="G16" s="563">
        <v>231146360</v>
      </c>
    </row>
    <row r="17" spans="1:7" x14ac:dyDescent="0.25">
      <c r="A17" s="38">
        <f t="shared" si="0"/>
        <v>46356</v>
      </c>
      <c r="B17" s="39" t="s">
        <v>4369</v>
      </c>
      <c r="C17" s="560">
        <v>46356</v>
      </c>
      <c r="D17" s="40">
        <v>6</v>
      </c>
      <c r="E17" s="561">
        <v>64040500000</v>
      </c>
      <c r="F17" s="562">
        <v>2250000000</v>
      </c>
      <c r="G17" s="563">
        <v>13278600</v>
      </c>
    </row>
    <row r="18" spans="1:7" x14ac:dyDescent="0.25">
      <c r="A18" s="38">
        <f t="shared" si="0"/>
        <v>46387</v>
      </c>
      <c r="B18" s="39" t="s">
        <v>4370</v>
      </c>
      <c r="C18" s="560">
        <v>46387</v>
      </c>
      <c r="D18" s="40">
        <v>7</v>
      </c>
      <c r="E18" s="561">
        <v>61790500000</v>
      </c>
      <c r="F18" s="562">
        <v>0</v>
      </c>
      <c r="G18" s="563">
        <v>9718900</v>
      </c>
    </row>
    <row r="19" spans="1:7" x14ac:dyDescent="0.25">
      <c r="A19" s="38">
        <f t="shared" si="0"/>
        <v>46418</v>
      </c>
      <c r="B19" s="39" t="s">
        <v>4371</v>
      </c>
      <c r="C19" s="560">
        <v>46418</v>
      </c>
      <c r="D19" s="40">
        <v>8</v>
      </c>
      <c r="E19" s="561">
        <v>61790500000</v>
      </c>
      <c r="F19" s="562">
        <v>2000000000</v>
      </c>
      <c r="G19" s="563">
        <v>266048016.71000001</v>
      </c>
    </row>
    <row r="20" spans="1:7" x14ac:dyDescent="0.25">
      <c r="A20" s="38">
        <f t="shared" si="0"/>
        <v>46446</v>
      </c>
      <c r="B20" s="39" t="s">
        <v>4372</v>
      </c>
      <c r="C20" s="560">
        <v>46446</v>
      </c>
      <c r="D20" s="40">
        <v>9</v>
      </c>
      <c r="E20" s="561">
        <v>59790500000</v>
      </c>
      <c r="F20" s="562">
        <v>0</v>
      </c>
      <c r="G20" s="563">
        <v>131419450</v>
      </c>
    </row>
    <row r="21" spans="1:7" x14ac:dyDescent="0.25">
      <c r="A21" s="38">
        <f t="shared" si="0"/>
        <v>46477</v>
      </c>
      <c r="B21" s="39" t="s">
        <v>4373</v>
      </c>
      <c r="C21" s="560">
        <v>46477</v>
      </c>
      <c r="D21" s="40">
        <v>10</v>
      </c>
      <c r="E21" s="561">
        <v>59790500000</v>
      </c>
      <c r="F21" s="562">
        <v>0</v>
      </c>
      <c r="G21" s="563">
        <v>85817723</v>
      </c>
    </row>
    <row r="22" spans="1:7" x14ac:dyDescent="0.25">
      <c r="A22" s="38">
        <f t="shared" si="0"/>
        <v>46507</v>
      </c>
      <c r="B22" s="39" t="s">
        <v>4374</v>
      </c>
      <c r="C22" s="560">
        <v>46507</v>
      </c>
      <c r="D22" s="40">
        <v>11</v>
      </c>
      <c r="E22" s="561">
        <v>59790500000</v>
      </c>
      <c r="F22" s="562">
        <v>0</v>
      </c>
      <c r="G22" s="563">
        <v>133303350</v>
      </c>
    </row>
    <row r="23" spans="1:7" x14ac:dyDescent="0.25">
      <c r="A23" s="38">
        <f t="shared" si="0"/>
        <v>46538</v>
      </c>
      <c r="B23" s="39" t="s">
        <v>4375</v>
      </c>
      <c r="C23" s="560">
        <v>46538</v>
      </c>
      <c r="D23" s="40">
        <v>12</v>
      </c>
      <c r="E23" s="561">
        <v>59790500000</v>
      </c>
      <c r="F23" s="562">
        <v>25000000</v>
      </c>
      <c r="G23" s="563">
        <v>84237135.209999993</v>
      </c>
    </row>
    <row r="24" spans="1:7" x14ac:dyDescent="0.25">
      <c r="A24" s="38">
        <f t="shared" si="0"/>
        <v>46568</v>
      </c>
      <c r="B24" s="39" t="s">
        <v>4376</v>
      </c>
      <c r="C24" s="560">
        <v>46568</v>
      </c>
      <c r="D24" s="40">
        <v>13</v>
      </c>
      <c r="E24" s="561">
        <v>59765500000</v>
      </c>
      <c r="F24" s="562">
        <v>0</v>
      </c>
      <c r="G24" s="563">
        <v>160426750</v>
      </c>
    </row>
    <row r="25" spans="1:7" x14ac:dyDescent="0.25">
      <c r="A25" s="38">
        <f t="shared" si="0"/>
        <v>46599</v>
      </c>
      <c r="B25" s="39" t="s">
        <v>4377</v>
      </c>
      <c r="C25" s="560">
        <v>46599</v>
      </c>
      <c r="D25" s="40">
        <v>14</v>
      </c>
      <c r="E25" s="561">
        <v>59765500000</v>
      </c>
      <c r="F25" s="562">
        <v>1750000000</v>
      </c>
      <c r="G25" s="563">
        <v>89634700</v>
      </c>
    </row>
    <row r="26" spans="1:7" x14ac:dyDescent="0.25">
      <c r="A26" s="38">
        <f t="shared" si="0"/>
        <v>46630</v>
      </c>
      <c r="B26" s="39" t="s">
        <v>4378</v>
      </c>
      <c r="C26" s="560">
        <v>46630</v>
      </c>
      <c r="D26" s="40">
        <v>15</v>
      </c>
      <c r="E26" s="561">
        <v>58015500000</v>
      </c>
      <c r="F26" s="562">
        <v>0</v>
      </c>
      <c r="G26" s="563">
        <v>38254750</v>
      </c>
    </row>
    <row r="27" spans="1:7" x14ac:dyDescent="0.25">
      <c r="A27" s="38">
        <f t="shared" si="0"/>
        <v>46660</v>
      </c>
      <c r="B27" s="39" t="s">
        <v>4379</v>
      </c>
      <c r="C27" s="560">
        <v>46660</v>
      </c>
      <c r="D27" s="40">
        <v>16</v>
      </c>
      <c r="E27" s="561">
        <v>58015500000</v>
      </c>
      <c r="F27" s="562">
        <v>1760000000</v>
      </c>
      <c r="G27" s="563">
        <v>19712900</v>
      </c>
    </row>
    <row r="28" spans="1:7" x14ac:dyDescent="0.25">
      <c r="A28" s="38">
        <f t="shared" si="0"/>
        <v>46691</v>
      </c>
      <c r="B28" s="39" t="s">
        <v>4380</v>
      </c>
      <c r="C28" s="560">
        <v>46691</v>
      </c>
      <c r="D28" s="40">
        <v>17</v>
      </c>
      <c r="E28" s="561">
        <v>56255500000</v>
      </c>
      <c r="F28" s="562">
        <v>0</v>
      </c>
      <c r="G28" s="563">
        <v>231146360</v>
      </c>
    </row>
    <row r="29" spans="1:7" x14ac:dyDescent="0.25">
      <c r="A29" s="38">
        <f t="shared" si="0"/>
        <v>46721</v>
      </c>
      <c r="B29" s="39" t="s">
        <v>4381</v>
      </c>
      <c r="C29" s="560">
        <v>46721</v>
      </c>
      <c r="D29" s="40">
        <v>18</v>
      </c>
      <c r="E29" s="561">
        <v>56255500000</v>
      </c>
      <c r="F29" s="562">
        <v>1000000000</v>
      </c>
      <c r="G29" s="563">
        <v>5653600</v>
      </c>
    </row>
    <row r="30" spans="1:7" x14ac:dyDescent="0.25">
      <c r="A30" s="38">
        <f t="shared" si="0"/>
        <v>46752</v>
      </c>
      <c r="B30" s="39" t="s">
        <v>4382</v>
      </c>
      <c r="C30" s="560">
        <v>46752</v>
      </c>
      <c r="D30" s="40">
        <v>19</v>
      </c>
      <c r="E30" s="561">
        <v>55255500000</v>
      </c>
      <c r="F30" s="562">
        <v>0</v>
      </c>
      <c r="G30" s="563">
        <v>9718900</v>
      </c>
    </row>
    <row r="31" spans="1:7" x14ac:dyDescent="0.25">
      <c r="A31" s="38">
        <f t="shared" si="0"/>
        <v>46783</v>
      </c>
      <c r="B31" s="39" t="s">
        <v>4383</v>
      </c>
      <c r="C31" s="560">
        <v>46783</v>
      </c>
      <c r="D31" s="40">
        <v>20</v>
      </c>
      <c r="E31" s="561">
        <v>55255500000</v>
      </c>
      <c r="F31" s="562">
        <v>1750000000</v>
      </c>
      <c r="G31" s="563">
        <v>256590140</v>
      </c>
    </row>
    <row r="32" spans="1:7" x14ac:dyDescent="0.25">
      <c r="A32" s="38">
        <f t="shared" si="0"/>
        <v>46812</v>
      </c>
      <c r="B32" s="39" t="s">
        <v>4384</v>
      </c>
      <c r="C32" s="560">
        <v>46812</v>
      </c>
      <c r="D32" s="40">
        <v>21</v>
      </c>
      <c r="E32" s="561">
        <v>53505500000</v>
      </c>
      <c r="F32" s="562">
        <v>0</v>
      </c>
      <c r="G32" s="563">
        <v>131419450</v>
      </c>
    </row>
    <row r="33" spans="1:7" x14ac:dyDescent="0.25">
      <c r="A33" s="38">
        <f t="shared" si="0"/>
        <v>46843</v>
      </c>
      <c r="B33" s="39" t="s">
        <v>4385</v>
      </c>
      <c r="C33" s="560">
        <v>46843</v>
      </c>
      <c r="D33" s="40">
        <v>22</v>
      </c>
      <c r="E33" s="561">
        <v>53505500000</v>
      </c>
      <c r="F33" s="562">
        <v>1250000000</v>
      </c>
      <c r="G33" s="563">
        <v>85817723</v>
      </c>
    </row>
    <row r="34" spans="1:7" x14ac:dyDescent="0.25">
      <c r="A34" s="38">
        <f t="shared" si="0"/>
        <v>46873</v>
      </c>
      <c r="B34" s="39" t="s">
        <v>4386</v>
      </c>
      <c r="C34" s="560">
        <v>46873</v>
      </c>
      <c r="D34" s="40">
        <v>23</v>
      </c>
      <c r="E34" s="561">
        <v>52255500000</v>
      </c>
      <c r="F34" s="562">
        <v>3000000000</v>
      </c>
      <c r="G34" s="563">
        <v>133303350</v>
      </c>
    </row>
    <row r="35" spans="1:7" x14ac:dyDescent="0.25">
      <c r="A35" s="38">
        <f t="shared" si="0"/>
        <v>46904</v>
      </c>
      <c r="B35" s="39" t="s">
        <v>4387</v>
      </c>
      <c r="C35" s="560">
        <v>46904</v>
      </c>
      <c r="D35" s="40">
        <v>24</v>
      </c>
      <c r="E35" s="561">
        <v>49255500000</v>
      </c>
      <c r="F35" s="562">
        <v>97000000</v>
      </c>
      <c r="G35" s="563">
        <v>83671190</v>
      </c>
    </row>
    <row r="36" spans="1:7" x14ac:dyDescent="0.25">
      <c r="A36" s="38">
        <f t="shared" si="0"/>
        <v>46934</v>
      </c>
      <c r="B36" s="39" t="s">
        <v>4388</v>
      </c>
      <c r="C36" s="560">
        <v>46934</v>
      </c>
      <c r="D36" s="40">
        <v>25</v>
      </c>
      <c r="E36" s="561">
        <v>49158500000</v>
      </c>
      <c r="F36" s="562">
        <v>175000000</v>
      </c>
      <c r="G36" s="563">
        <v>160426750</v>
      </c>
    </row>
    <row r="37" spans="1:7" x14ac:dyDescent="0.25">
      <c r="A37" s="38">
        <f t="shared" si="0"/>
        <v>46965</v>
      </c>
      <c r="B37" s="39" t="s">
        <v>4389</v>
      </c>
      <c r="C37" s="560">
        <v>46965</v>
      </c>
      <c r="D37" s="40">
        <v>26</v>
      </c>
      <c r="E37" s="561">
        <v>48983500000</v>
      </c>
      <c r="F37" s="562">
        <v>0</v>
      </c>
      <c r="G37" s="563">
        <v>34947200</v>
      </c>
    </row>
    <row r="38" spans="1:7" x14ac:dyDescent="0.25">
      <c r="A38" s="38">
        <f t="shared" si="0"/>
        <v>46996</v>
      </c>
      <c r="B38" s="39" t="s">
        <v>4390</v>
      </c>
      <c r="C38" s="560">
        <v>46996</v>
      </c>
      <c r="D38" s="40">
        <v>27</v>
      </c>
      <c r="E38" s="561">
        <v>48983500000</v>
      </c>
      <c r="F38" s="562">
        <v>30000000</v>
      </c>
      <c r="G38" s="563">
        <v>38254750</v>
      </c>
    </row>
    <row r="39" spans="1:7" x14ac:dyDescent="0.25">
      <c r="A39" s="38">
        <f t="shared" si="0"/>
        <v>47026</v>
      </c>
      <c r="B39" s="39" t="s">
        <v>4391</v>
      </c>
      <c r="C39" s="560">
        <v>47026</v>
      </c>
      <c r="D39" s="40">
        <v>28</v>
      </c>
      <c r="E39" s="561">
        <v>48953500000</v>
      </c>
      <c r="F39" s="562">
        <v>0</v>
      </c>
      <c r="G39" s="563">
        <v>8515400</v>
      </c>
    </row>
    <row r="40" spans="1:7" x14ac:dyDescent="0.25">
      <c r="A40" s="38">
        <f t="shared" si="0"/>
        <v>47057</v>
      </c>
      <c r="B40" s="39" t="s">
        <v>4392</v>
      </c>
      <c r="C40" s="560">
        <v>47057</v>
      </c>
      <c r="D40" s="40">
        <v>29</v>
      </c>
      <c r="E40" s="561">
        <v>48953500000</v>
      </c>
      <c r="F40" s="562">
        <v>1005000000</v>
      </c>
      <c r="G40" s="563">
        <v>231146360</v>
      </c>
    </row>
    <row r="41" spans="1:7" x14ac:dyDescent="0.25">
      <c r="A41" s="38">
        <f t="shared" si="0"/>
        <v>47087</v>
      </c>
      <c r="B41" s="39" t="s">
        <v>4393</v>
      </c>
      <c r="C41" s="560">
        <v>47087</v>
      </c>
      <c r="D41" s="40">
        <v>30</v>
      </c>
      <c r="E41" s="561">
        <v>47948500000</v>
      </c>
      <c r="F41" s="562">
        <v>0</v>
      </c>
      <c r="G41" s="563">
        <v>5553600</v>
      </c>
    </row>
    <row r="42" spans="1:7" x14ac:dyDescent="0.25">
      <c r="A42" s="38">
        <f t="shared" si="0"/>
        <v>47118</v>
      </c>
      <c r="B42" s="39" t="s">
        <v>4394</v>
      </c>
      <c r="C42" s="560">
        <v>47118</v>
      </c>
      <c r="D42" s="40">
        <v>31</v>
      </c>
      <c r="E42" s="561">
        <v>47948500000</v>
      </c>
      <c r="F42" s="562">
        <v>0</v>
      </c>
      <c r="G42" s="563">
        <v>9718900</v>
      </c>
    </row>
    <row r="43" spans="1:7" x14ac:dyDescent="0.25">
      <c r="A43" s="38">
        <f t="shared" si="0"/>
        <v>47149</v>
      </c>
      <c r="B43" s="39" t="s">
        <v>4395</v>
      </c>
      <c r="C43" s="560">
        <v>47149</v>
      </c>
      <c r="D43" s="40">
        <v>32</v>
      </c>
      <c r="E43" s="561">
        <v>47948500000</v>
      </c>
      <c r="F43" s="562">
        <v>1050000000</v>
      </c>
      <c r="G43" s="563">
        <v>200880659.18000001</v>
      </c>
    </row>
    <row r="44" spans="1:7" x14ac:dyDescent="0.25">
      <c r="A44" s="38">
        <f t="shared" si="0"/>
        <v>47177</v>
      </c>
      <c r="B44" s="39" t="s">
        <v>4396</v>
      </c>
      <c r="C44" s="560">
        <v>47177</v>
      </c>
      <c r="D44" s="40">
        <v>33</v>
      </c>
      <c r="E44" s="561">
        <v>46898500000</v>
      </c>
      <c r="F44" s="562">
        <v>3250000000</v>
      </c>
      <c r="G44" s="563">
        <v>131419450</v>
      </c>
    </row>
    <row r="45" spans="1:7" x14ac:dyDescent="0.25">
      <c r="A45" s="38">
        <f t="shared" si="0"/>
        <v>47208</v>
      </c>
      <c r="B45" s="39" t="s">
        <v>4397</v>
      </c>
      <c r="C45" s="560">
        <v>47208</v>
      </c>
      <c r="D45" s="40">
        <v>34</v>
      </c>
      <c r="E45" s="561">
        <v>43648500000</v>
      </c>
      <c r="F45" s="562">
        <v>1000000000</v>
      </c>
      <c r="G45" s="563">
        <v>85692723</v>
      </c>
    </row>
    <row r="46" spans="1:7" x14ac:dyDescent="0.25">
      <c r="A46" s="38">
        <f t="shared" si="0"/>
        <v>47238</v>
      </c>
      <c r="B46" s="39" t="s">
        <v>4398</v>
      </c>
      <c r="C46" s="560">
        <v>47238</v>
      </c>
      <c r="D46" s="40">
        <v>35</v>
      </c>
      <c r="E46" s="561">
        <v>42648500000</v>
      </c>
      <c r="F46" s="562">
        <v>0</v>
      </c>
      <c r="G46" s="563">
        <v>59553350</v>
      </c>
    </row>
    <row r="47" spans="1:7" x14ac:dyDescent="0.25">
      <c r="A47" s="38">
        <f t="shared" si="0"/>
        <v>47269</v>
      </c>
      <c r="B47" s="39" t="s">
        <v>4399</v>
      </c>
      <c r="C47" s="560">
        <v>47269</v>
      </c>
      <c r="D47" s="40">
        <v>36</v>
      </c>
      <c r="E47" s="561">
        <v>42648500000</v>
      </c>
      <c r="F47" s="562">
        <v>10000000</v>
      </c>
      <c r="G47" s="563">
        <v>81594780</v>
      </c>
    </row>
    <row r="48" spans="1:7" x14ac:dyDescent="0.25">
      <c r="A48" s="38">
        <f t="shared" si="0"/>
        <v>47299</v>
      </c>
      <c r="B48" s="39" t="s">
        <v>4400</v>
      </c>
      <c r="C48" s="560">
        <v>47299</v>
      </c>
      <c r="D48" s="40">
        <v>37</v>
      </c>
      <c r="E48" s="561">
        <v>42638500000</v>
      </c>
      <c r="F48" s="562">
        <v>1000000000</v>
      </c>
      <c r="G48" s="563">
        <v>155652500</v>
      </c>
    </row>
    <row r="49" spans="1:7" x14ac:dyDescent="0.25">
      <c r="A49" s="38">
        <f t="shared" si="0"/>
        <v>47330</v>
      </c>
      <c r="B49" s="39" t="s">
        <v>4401</v>
      </c>
      <c r="C49" s="560">
        <v>47330</v>
      </c>
      <c r="D49" s="40">
        <v>38</v>
      </c>
      <c r="E49" s="561">
        <v>41638500000</v>
      </c>
      <c r="F49" s="562">
        <v>29000000</v>
      </c>
      <c r="G49" s="563">
        <v>34947200</v>
      </c>
    </row>
    <row r="50" spans="1:7" x14ac:dyDescent="0.25">
      <c r="A50" s="38">
        <f t="shared" si="0"/>
        <v>47361</v>
      </c>
      <c r="B50" s="39" t="s">
        <v>4402</v>
      </c>
      <c r="C50" s="560">
        <v>47361</v>
      </c>
      <c r="D50" s="40">
        <v>39</v>
      </c>
      <c r="E50" s="561">
        <v>41609500000</v>
      </c>
      <c r="F50" s="562">
        <v>10000000</v>
      </c>
      <c r="G50" s="563">
        <v>37349750</v>
      </c>
    </row>
    <row r="51" spans="1:7" x14ac:dyDescent="0.25">
      <c r="A51" s="38">
        <f t="shared" si="0"/>
        <v>47391</v>
      </c>
      <c r="B51" s="39" t="s">
        <v>4403</v>
      </c>
      <c r="C51" s="560">
        <v>47391</v>
      </c>
      <c r="D51" s="40">
        <v>40</v>
      </c>
      <c r="E51" s="561">
        <v>41599500000</v>
      </c>
      <c r="F51" s="562">
        <v>20000000</v>
      </c>
      <c r="G51" s="563">
        <v>8515400</v>
      </c>
    </row>
    <row r="52" spans="1:7" x14ac:dyDescent="0.25">
      <c r="A52" s="38">
        <f t="shared" si="0"/>
        <v>47422</v>
      </c>
      <c r="B52" s="39" t="s">
        <v>4404</v>
      </c>
      <c r="C52" s="560">
        <v>47422</v>
      </c>
      <c r="D52" s="40">
        <v>41</v>
      </c>
      <c r="E52" s="561">
        <v>41579500000</v>
      </c>
      <c r="F52" s="562">
        <v>2500000000</v>
      </c>
      <c r="G52" s="563">
        <v>230992610</v>
      </c>
    </row>
    <row r="53" spans="1:7" x14ac:dyDescent="0.25">
      <c r="A53" s="38">
        <f t="shared" si="0"/>
        <v>47452</v>
      </c>
      <c r="B53" s="39" t="s">
        <v>4405</v>
      </c>
      <c r="C53" s="560">
        <v>47452</v>
      </c>
      <c r="D53" s="40">
        <v>42</v>
      </c>
      <c r="E53" s="561">
        <v>39079500000</v>
      </c>
      <c r="F53" s="562">
        <v>9000000</v>
      </c>
      <c r="G53" s="563">
        <v>5553600</v>
      </c>
    </row>
    <row r="54" spans="1:7" x14ac:dyDescent="0.25">
      <c r="A54" s="38">
        <f t="shared" si="0"/>
        <v>47483</v>
      </c>
      <c r="B54" s="39" t="s">
        <v>4406</v>
      </c>
      <c r="C54" s="560">
        <v>47483</v>
      </c>
      <c r="D54" s="40">
        <v>43</v>
      </c>
      <c r="E54" s="561">
        <v>39070500000</v>
      </c>
      <c r="F54" s="562">
        <v>0</v>
      </c>
      <c r="G54" s="563">
        <v>9718900</v>
      </c>
    </row>
    <row r="55" spans="1:7" x14ac:dyDescent="0.25">
      <c r="A55" s="38">
        <f t="shared" si="0"/>
        <v>47514</v>
      </c>
      <c r="B55" s="39" t="s">
        <v>4407</v>
      </c>
      <c r="C55" s="560">
        <v>47514</v>
      </c>
      <c r="D55" s="40">
        <v>44</v>
      </c>
      <c r="E55" s="561">
        <v>39070500000</v>
      </c>
      <c r="F55" s="562">
        <v>20000000</v>
      </c>
      <c r="G55" s="563">
        <v>201323640</v>
      </c>
    </row>
    <row r="56" spans="1:7" x14ac:dyDescent="0.25">
      <c r="A56" s="38">
        <f t="shared" si="0"/>
        <v>47542</v>
      </c>
      <c r="B56" s="39" t="s">
        <v>4408</v>
      </c>
      <c r="C56" s="560">
        <v>47542</v>
      </c>
      <c r="D56" s="40">
        <v>45</v>
      </c>
      <c r="E56" s="561">
        <v>39050500000</v>
      </c>
      <c r="F56" s="562">
        <v>1000000000</v>
      </c>
      <c r="G56" s="563">
        <v>73294450</v>
      </c>
    </row>
    <row r="57" spans="1:7" x14ac:dyDescent="0.25">
      <c r="A57" s="38">
        <f t="shared" si="0"/>
        <v>47573</v>
      </c>
      <c r="B57" s="39" t="s">
        <v>4409</v>
      </c>
      <c r="C57" s="560">
        <v>47573</v>
      </c>
      <c r="D57" s="40">
        <v>46</v>
      </c>
      <c r="E57" s="561">
        <v>38050500000</v>
      </c>
      <c r="F57" s="562">
        <v>0</v>
      </c>
      <c r="G57" s="563">
        <v>51942723</v>
      </c>
    </row>
    <row r="58" spans="1:7" x14ac:dyDescent="0.25">
      <c r="A58" s="38">
        <f t="shared" si="0"/>
        <v>47603</v>
      </c>
      <c r="B58" s="39" t="s">
        <v>4410</v>
      </c>
      <c r="C58" s="560">
        <v>47603</v>
      </c>
      <c r="D58" s="40">
        <v>47</v>
      </c>
      <c r="E58" s="561">
        <v>38050500000</v>
      </c>
      <c r="F58" s="562">
        <v>1520000000</v>
      </c>
      <c r="G58" s="563">
        <v>59553350</v>
      </c>
    </row>
    <row r="59" spans="1:7" x14ac:dyDescent="0.25">
      <c r="A59" s="38">
        <f t="shared" si="0"/>
        <v>47634</v>
      </c>
      <c r="B59" s="39" t="s">
        <v>4411</v>
      </c>
      <c r="C59" s="560">
        <v>47634</v>
      </c>
      <c r="D59" s="40">
        <v>48</v>
      </c>
      <c r="E59" s="561">
        <v>36530500000</v>
      </c>
      <c r="F59" s="562">
        <v>1250000000</v>
      </c>
      <c r="G59" s="563">
        <v>81348280</v>
      </c>
    </row>
    <row r="60" spans="1:7" x14ac:dyDescent="0.25">
      <c r="A60" s="38">
        <f t="shared" si="0"/>
        <v>47664</v>
      </c>
      <c r="B60" s="39" t="s">
        <v>4412</v>
      </c>
      <c r="C60" s="560">
        <v>47664</v>
      </c>
      <c r="D60" s="40">
        <v>49</v>
      </c>
      <c r="E60" s="561">
        <v>35280500000</v>
      </c>
      <c r="F60" s="562">
        <v>0</v>
      </c>
      <c r="G60" s="563">
        <v>145652500</v>
      </c>
    </row>
    <row r="61" spans="1:7" x14ac:dyDescent="0.25">
      <c r="A61" s="38">
        <f t="shared" si="0"/>
        <v>47695</v>
      </c>
      <c r="B61" s="39" t="s">
        <v>4413</v>
      </c>
      <c r="C61" s="560">
        <v>47695</v>
      </c>
      <c r="D61" s="40">
        <v>50</v>
      </c>
      <c r="E61" s="561">
        <v>35280500000</v>
      </c>
      <c r="F61" s="562">
        <v>1250000000</v>
      </c>
      <c r="G61" s="563">
        <v>34400900</v>
      </c>
    </row>
    <row r="62" spans="1:7" x14ac:dyDescent="0.25">
      <c r="A62" s="38">
        <f t="shared" si="0"/>
        <v>47726</v>
      </c>
      <c r="B62" s="39" t="s">
        <v>4414</v>
      </c>
      <c r="C62" s="560">
        <v>47726</v>
      </c>
      <c r="D62" s="40">
        <v>51</v>
      </c>
      <c r="E62" s="561">
        <v>34030500000</v>
      </c>
      <c r="F62" s="562">
        <v>0</v>
      </c>
      <c r="G62" s="563">
        <v>37163750</v>
      </c>
    </row>
    <row r="63" spans="1:7" x14ac:dyDescent="0.25">
      <c r="A63" s="38">
        <f t="shared" si="0"/>
        <v>47756</v>
      </c>
      <c r="B63" s="39" t="s">
        <v>4415</v>
      </c>
      <c r="C63" s="560">
        <v>47756</v>
      </c>
      <c r="D63" s="40">
        <v>52</v>
      </c>
      <c r="E63" s="561">
        <v>34030500000</v>
      </c>
      <c r="F63" s="562">
        <v>0</v>
      </c>
      <c r="G63" s="563">
        <v>7901400</v>
      </c>
    </row>
    <row r="64" spans="1:7" x14ac:dyDescent="0.25">
      <c r="A64" s="38">
        <f t="shared" si="0"/>
        <v>47787</v>
      </c>
      <c r="B64" s="39" t="s">
        <v>4416</v>
      </c>
      <c r="C64" s="560">
        <v>47787</v>
      </c>
      <c r="D64" s="40">
        <v>53</v>
      </c>
      <c r="E64" s="561">
        <v>34030500000</v>
      </c>
      <c r="F64" s="562">
        <v>0</v>
      </c>
      <c r="G64" s="563">
        <v>160862660</v>
      </c>
    </row>
    <row r="65" spans="1:7" x14ac:dyDescent="0.25">
      <c r="A65" s="38">
        <f t="shared" si="0"/>
        <v>47817</v>
      </c>
      <c r="B65" s="39" t="s">
        <v>4417</v>
      </c>
      <c r="C65" s="560">
        <v>47817</v>
      </c>
      <c r="D65" s="40">
        <v>54</v>
      </c>
      <c r="E65" s="561">
        <v>34030500000</v>
      </c>
      <c r="F65" s="562">
        <v>0</v>
      </c>
      <c r="G65" s="563">
        <v>5290800</v>
      </c>
    </row>
    <row r="66" spans="1:7" x14ac:dyDescent="0.25">
      <c r="A66" s="38">
        <f t="shared" si="0"/>
        <v>47848</v>
      </c>
      <c r="B66" s="39" t="s">
        <v>4418</v>
      </c>
      <c r="C66" s="560">
        <v>47848</v>
      </c>
      <c r="D66" s="40">
        <v>55</v>
      </c>
      <c r="E66" s="561">
        <v>34030500000</v>
      </c>
      <c r="F66" s="562">
        <v>1500000000</v>
      </c>
      <c r="G66" s="563">
        <v>9718900</v>
      </c>
    </row>
    <row r="67" spans="1:7" x14ac:dyDescent="0.25">
      <c r="A67" s="38">
        <f t="shared" si="0"/>
        <v>47879</v>
      </c>
      <c r="B67" s="39" t="s">
        <v>4419</v>
      </c>
      <c r="C67" s="560">
        <v>47879</v>
      </c>
      <c r="D67" s="40">
        <v>56</v>
      </c>
      <c r="E67" s="561">
        <v>32530500000</v>
      </c>
      <c r="F67" s="562">
        <v>1525000000</v>
      </c>
      <c r="G67" s="563">
        <v>201193690</v>
      </c>
    </row>
    <row r="68" spans="1:7" x14ac:dyDescent="0.25">
      <c r="A68" s="38">
        <f t="shared" si="0"/>
        <v>47907</v>
      </c>
      <c r="B68" s="39" t="s">
        <v>4420</v>
      </c>
      <c r="C68" s="560">
        <v>47907</v>
      </c>
      <c r="D68" s="40">
        <v>57</v>
      </c>
      <c r="E68" s="561">
        <v>31005500000</v>
      </c>
      <c r="F68" s="562">
        <v>20000000</v>
      </c>
      <c r="G68" s="563">
        <v>45794450</v>
      </c>
    </row>
    <row r="69" spans="1:7" x14ac:dyDescent="0.25">
      <c r="A69" s="38">
        <f t="shared" si="0"/>
        <v>47938</v>
      </c>
      <c r="B69" s="39" t="s">
        <v>4421</v>
      </c>
      <c r="C69" s="560">
        <v>47938</v>
      </c>
      <c r="D69" s="40">
        <v>58</v>
      </c>
      <c r="E69" s="561">
        <v>30985500000</v>
      </c>
      <c r="F69" s="562">
        <v>625000000</v>
      </c>
      <c r="G69" s="563">
        <v>51942723</v>
      </c>
    </row>
    <row r="70" spans="1:7" x14ac:dyDescent="0.25">
      <c r="A70" s="38">
        <f t="shared" si="0"/>
        <v>47968</v>
      </c>
      <c r="B70" s="39" t="s">
        <v>4422</v>
      </c>
      <c r="C70" s="560">
        <v>47968</v>
      </c>
      <c r="D70" s="40">
        <v>59</v>
      </c>
      <c r="E70" s="561">
        <v>30360500000</v>
      </c>
      <c r="F70" s="562">
        <v>0</v>
      </c>
      <c r="G70" s="563">
        <v>42548400</v>
      </c>
    </row>
    <row r="71" spans="1:7" x14ac:dyDescent="0.25">
      <c r="A71" s="38">
        <f t="shared" si="0"/>
        <v>47999</v>
      </c>
      <c r="B71" s="39" t="s">
        <v>4423</v>
      </c>
      <c r="C71" s="560">
        <v>47999</v>
      </c>
      <c r="D71" s="40">
        <v>60</v>
      </c>
      <c r="E71" s="561">
        <v>30360500000</v>
      </c>
      <c r="F71" s="562">
        <v>1000000000</v>
      </c>
      <c r="G71" s="563">
        <v>81223280</v>
      </c>
    </row>
    <row r="72" spans="1:7" x14ac:dyDescent="0.25">
      <c r="A72" s="38">
        <f t="shared" si="0"/>
        <v>48029</v>
      </c>
      <c r="B72" s="39" t="s">
        <v>4424</v>
      </c>
      <c r="C72" s="560">
        <v>48029</v>
      </c>
      <c r="D72" s="40">
        <v>61</v>
      </c>
      <c r="E72" s="561">
        <v>29360500000</v>
      </c>
      <c r="F72" s="562">
        <v>1500000000</v>
      </c>
      <c r="G72" s="563">
        <v>139522705.47999999</v>
      </c>
    </row>
    <row r="73" spans="1:7" x14ac:dyDescent="0.25">
      <c r="A73" s="38">
        <f t="shared" si="0"/>
        <v>48060</v>
      </c>
      <c r="B73" s="39" t="s">
        <v>4425</v>
      </c>
      <c r="C73" s="560">
        <v>48060</v>
      </c>
      <c r="D73" s="40">
        <v>62</v>
      </c>
      <c r="E73" s="561">
        <v>27860500000</v>
      </c>
      <c r="F73" s="562">
        <v>0</v>
      </c>
      <c r="G73" s="563">
        <v>1588400</v>
      </c>
    </row>
    <row r="74" spans="1:7" x14ac:dyDescent="0.25">
      <c r="A74" s="38">
        <f t="shared" si="0"/>
        <v>48091</v>
      </c>
      <c r="B74" s="39" t="s">
        <v>4426</v>
      </c>
      <c r="C74" s="560">
        <v>48091</v>
      </c>
      <c r="D74" s="40">
        <v>63</v>
      </c>
      <c r="E74" s="561">
        <v>27860500000</v>
      </c>
      <c r="F74" s="562">
        <v>0</v>
      </c>
      <c r="G74" s="563">
        <v>37163750</v>
      </c>
    </row>
    <row r="75" spans="1:7" x14ac:dyDescent="0.25">
      <c r="A75" s="38">
        <f t="shared" si="0"/>
        <v>48121</v>
      </c>
      <c r="B75" s="39" t="s">
        <v>4427</v>
      </c>
      <c r="C75" s="560">
        <v>48121</v>
      </c>
      <c r="D75" s="40">
        <v>64</v>
      </c>
      <c r="E75" s="561">
        <v>27860500000</v>
      </c>
      <c r="F75" s="562">
        <v>0</v>
      </c>
      <c r="G75" s="563">
        <v>7901400</v>
      </c>
    </row>
    <row r="76" spans="1:7" x14ac:dyDescent="0.25">
      <c r="A76" s="38">
        <f t="shared" si="0"/>
        <v>48152</v>
      </c>
      <c r="B76" s="39" t="s">
        <v>4428</v>
      </c>
      <c r="C76" s="560">
        <v>48152</v>
      </c>
      <c r="D76" s="40">
        <v>65</v>
      </c>
      <c r="E76" s="561">
        <v>27860500000</v>
      </c>
      <c r="F76" s="562">
        <v>0</v>
      </c>
      <c r="G76" s="563">
        <v>160862660</v>
      </c>
    </row>
    <row r="77" spans="1:7" x14ac:dyDescent="0.25">
      <c r="A77" s="38">
        <f t="shared" ref="A77:A140" si="1">EOMONTH(A76,1)</f>
        <v>48182</v>
      </c>
      <c r="B77" s="39" t="s">
        <v>4429</v>
      </c>
      <c r="C77" s="560">
        <v>48182</v>
      </c>
      <c r="D77" s="40">
        <v>66</v>
      </c>
      <c r="E77" s="561">
        <v>27860500000</v>
      </c>
      <c r="F77" s="562">
        <v>0</v>
      </c>
      <c r="G77" s="563">
        <v>5290800</v>
      </c>
    </row>
    <row r="78" spans="1:7" x14ac:dyDescent="0.25">
      <c r="A78" s="38">
        <f t="shared" si="1"/>
        <v>48213</v>
      </c>
      <c r="B78" s="39" t="s">
        <v>4430</v>
      </c>
      <c r="C78" s="560">
        <v>48213</v>
      </c>
      <c r="D78" s="40">
        <v>67</v>
      </c>
      <c r="E78" s="561">
        <v>27860500000</v>
      </c>
      <c r="F78" s="562">
        <v>0</v>
      </c>
      <c r="G78" s="563">
        <v>7843900</v>
      </c>
    </row>
    <row r="79" spans="1:7" x14ac:dyDescent="0.25">
      <c r="A79" s="38">
        <f t="shared" si="1"/>
        <v>48244</v>
      </c>
      <c r="B79" s="39" t="s">
        <v>4431</v>
      </c>
      <c r="C79" s="560">
        <v>48244</v>
      </c>
      <c r="D79" s="40">
        <v>68</v>
      </c>
      <c r="E79" s="561">
        <v>27860500000</v>
      </c>
      <c r="F79" s="562">
        <v>1000000000</v>
      </c>
      <c r="G79" s="563">
        <v>155846190</v>
      </c>
    </row>
    <row r="80" spans="1:7" x14ac:dyDescent="0.25">
      <c r="A80" s="38">
        <f t="shared" si="1"/>
        <v>48273</v>
      </c>
      <c r="B80" s="39" t="s">
        <v>4432</v>
      </c>
      <c r="C80" s="560">
        <v>48273</v>
      </c>
      <c r="D80" s="40">
        <v>69</v>
      </c>
      <c r="E80" s="561">
        <v>26860500000</v>
      </c>
      <c r="F80" s="562">
        <v>0</v>
      </c>
      <c r="G80" s="563">
        <v>45529250</v>
      </c>
    </row>
    <row r="81" spans="1:7" x14ac:dyDescent="0.25">
      <c r="A81" s="38">
        <f t="shared" si="1"/>
        <v>48304</v>
      </c>
      <c r="B81" s="39" t="s">
        <v>4433</v>
      </c>
      <c r="C81" s="560">
        <v>48304</v>
      </c>
      <c r="D81" s="40">
        <v>70</v>
      </c>
      <c r="E81" s="561">
        <v>26860500000</v>
      </c>
      <c r="F81" s="562">
        <v>1275000000</v>
      </c>
      <c r="G81" s="563">
        <v>51538973</v>
      </c>
    </row>
    <row r="82" spans="1:7" x14ac:dyDescent="0.25">
      <c r="A82" s="38">
        <f t="shared" si="1"/>
        <v>48334</v>
      </c>
      <c r="B82" s="39" t="s">
        <v>4434</v>
      </c>
      <c r="C82" s="560">
        <v>48334</v>
      </c>
      <c r="D82" s="40">
        <v>71</v>
      </c>
      <c r="E82" s="561">
        <v>25585500000</v>
      </c>
      <c r="F82" s="562">
        <v>0</v>
      </c>
      <c r="G82" s="563">
        <v>42548400</v>
      </c>
    </row>
    <row r="83" spans="1:7" x14ac:dyDescent="0.25">
      <c r="A83" s="38">
        <f t="shared" si="1"/>
        <v>48365</v>
      </c>
      <c r="B83" s="39" t="s">
        <v>4435</v>
      </c>
      <c r="C83" s="560">
        <v>48365</v>
      </c>
      <c r="D83" s="40">
        <v>72</v>
      </c>
      <c r="E83" s="561">
        <v>25585500000</v>
      </c>
      <c r="F83" s="562">
        <v>1000000000</v>
      </c>
      <c r="G83" s="563">
        <v>74973280</v>
      </c>
    </row>
    <row r="84" spans="1:7" x14ac:dyDescent="0.25">
      <c r="A84" s="38">
        <f t="shared" si="1"/>
        <v>48395</v>
      </c>
      <c r="B84" s="39" t="s">
        <v>4436</v>
      </c>
      <c r="C84" s="560">
        <v>48395</v>
      </c>
      <c r="D84" s="40">
        <v>73</v>
      </c>
      <c r="E84" s="561">
        <v>24585500000</v>
      </c>
      <c r="F84" s="562">
        <v>25000000</v>
      </c>
      <c r="G84" s="563">
        <v>132527500</v>
      </c>
    </row>
    <row r="85" spans="1:7" x14ac:dyDescent="0.25">
      <c r="A85" s="38">
        <f t="shared" si="1"/>
        <v>48426</v>
      </c>
      <c r="B85" s="39" t="s">
        <v>4437</v>
      </c>
      <c r="C85" s="560">
        <v>48426</v>
      </c>
      <c r="D85" s="40">
        <v>74</v>
      </c>
      <c r="E85" s="561">
        <v>24560500000</v>
      </c>
      <c r="F85" s="562">
        <v>0</v>
      </c>
      <c r="G85" s="563">
        <v>1588400</v>
      </c>
    </row>
    <row r="86" spans="1:7" x14ac:dyDescent="0.25">
      <c r="A86" s="38">
        <f t="shared" si="1"/>
        <v>48457</v>
      </c>
      <c r="B86" s="39" t="s">
        <v>4438</v>
      </c>
      <c r="C86" s="560">
        <v>48457</v>
      </c>
      <c r="D86" s="40">
        <v>75</v>
      </c>
      <c r="E86" s="561">
        <v>24560500000</v>
      </c>
      <c r="F86" s="562">
        <v>1165000000</v>
      </c>
      <c r="G86" s="563">
        <v>37163750</v>
      </c>
    </row>
    <row r="87" spans="1:7" x14ac:dyDescent="0.25">
      <c r="A87" s="38">
        <f t="shared" si="1"/>
        <v>48487</v>
      </c>
      <c r="B87" s="39" t="s">
        <v>4439</v>
      </c>
      <c r="C87" s="560">
        <v>48487</v>
      </c>
      <c r="D87" s="40">
        <v>76</v>
      </c>
      <c r="E87" s="561">
        <v>23395500000</v>
      </c>
      <c r="F87" s="562">
        <v>0</v>
      </c>
      <c r="G87" s="563">
        <v>7901400</v>
      </c>
    </row>
    <row r="88" spans="1:7" x14ac:dyDescent="0.25">
      <c r="A88" s="38">
        <f t="shared" si="1"/>
        <v>48518</v>
      </c>
      <c r="B88" s="39" t="s">
        <v>4440</v>
      </c>
      <c r="C88" s="560">
        <v>48518</v>
      </c>
      <c r="D88" s="40">
        <v>77</v>
      </c>
      <c r="E88" s="561">
        <v>23395500000</v>
      </c>
      <c r="F88" s="562">
        <v>0</v>
      </c>
      <c r="G88" s="563">
        <v>160862660</v>
      </c>
    </row>
    <row r="89" spans="1:7" x14ac:dyDescent="0.25">
      <c r="A89" s="38">
        <f t="shared" si="1"/>
        <v>48548</v>
      </c>
      <c r="B89" s="39" t="s">
        <v>4441</v>
      </c>
      <c r="C89" s="560">
        <v>48548</v>
      </c>
      <c r="D89" s="40">
        <v>78</v>
      </c>
      <c r="E89" s="561">
        <v>23395500000</v>
      </c>
      <c r="F89" s="562">
        <v>0</v>
      </c>
      <c r="G89" s="563">
        <v>5290800</v>
      </c>
    </row>
    <row r="90" spans="1:7" x14ac:dyDescent="0.25">
      <c r="A90" s="38">
        <f t="shared" si="1"/>
        <v>48579</v>
      </c>
      <c r="B90" s="39" t="s">
        <v>4442</v>
      </c>
      <c r="C90" s="560">
        <v>48579</v>
      </c>
      <c r="D90" s="40">
        <v>79</v>
      </c>
      <c r="E90" s="561">
        <v>23395500000</v>
      </c>
      <c r="F90" s="562">
        <v>0</v>
      </c>
      <c r="G90" s="563">
        <v>7843900</v>
      </c>
    </row>
    <row r="91" spans="1:7" x14ac:dyDescent="0.25">
      <c r="A91" s="38">
        <f t="shared" si="1"/>
        <v>48610</v>
      </c>
      <c r="B91" s="39" t="s">
        <v>4443</v>
      </c>
      <c r="C91" s="560">
        <v>48610</v>
      </c>
      <c r="D91" s="40">
        <v>80</v>
      </c>
      <c r="E91" s="561">
        <v>23395500000</v>
      </c>
      <c r="F91" s="562">
        <v>2750000000</v>
      </c>
      <c r="G91" s="563">
        <v>152096190</v>
      </c>
    </row>
    <row r="92" spans="1:7" x14ac:dyDescent="0.25">
      <c r="A92" s="38">
        <f t="shared" si="1"/>
        <v>48638</v>
      </c>
      <c r="B92" s="39" t="s">
        <v>4444</v>
      </c>
      <c r="C92" s="560">
        <v>48638</v>
      </c>
      <c r="D92" s="40">
        <v>81</v>
      </c>
      <c r="E92" s="561">
        <v>20645500000</v>
      </c>
      <c r="F92" s="562">
        <v>15000000</v>
      </c>
      <c r="G92" s="563">
        <v>45529250</v>
      </c>
    </row>
    <row r="93" spans="1:7" x14ac:dyDescent="0.25">
      <c r="A93" s="38">
        <f t="shared" si="1"/>
        <v>48669</v>
      </c>
      <c r="B93" s="39" t="s">
        <v>4445</v>
      </c>
      <c r="C93" s="560">
        <v>48669</v>
      </c>
      <c r="D93" s="40">
        <v>82</v>
      </c>
      <c r="E93" s="561">
        <v>20630500000</v>
      </c>
      <c r="F93" s="562">
        <v>0</v>
      </c>
      <c r="G93" s="563">
        <v>13255223</v>
      </c>
    </row>
    <row r="94" spans="1:7" x14ac:dyDescent="0.25">
      <c r="A94" s="38">
        <f t="shared" si="1"/>
        <v>48699</v>
      </c>
      <c r="B94" s="39" t="s">
        <v>4446</v>
      </c>
      <c r="C94" s="560">
        <v>48699</v>
      </c>
      <c r="D94" s="40">
        <v>83</v>
      </c>
      <c r="E94" s="561">
        <v>20630500000</v>
      </c>
      <c r="F94" s="562">
        <v>0</v>
      </c>
      <c r="G94" s="563">
        <v>42548400</v>
      </c>
    </row>
    <row r="95" spans="1:7" x14ac:dyDescent="0.25">
      <c r="A95" s="38">
        <f t="shared" si="1"/>
        <v>48730</v>
      </c>
      <c r="B95" s="39" t="s">
        <v>4447</v>
      </c>
      <c r="C95" s="560">
        <v>48730</v>
      </c>
      <c r="D95" s="40">
        <v>84</v>
      </c>
      <c r="E95" s="561">
        <v>20630500000</v>
      </c>
      <c r="F95" s="562">
        <v>0</v>
      </c>
      <c r="G95" s="563">
        <v>57473280</v>
      </c>
    </row>
    <row r="96" spans="1:7" x14ac:dyDescent="0.25">
      <c r="A96" s="38">
        <f t="shared" si="1"/>
        <v>48760</v>
      </c>
      <c r="B96" s="39" t="s">
        <v>4448</v>
      </c>
      <c r="C96" s="560">
        <v>48760</v>
      </c>
      <c r="D96" s="40">
        <v>85</v>
      </c>
      <c r="E96" s="561">
        <v>20630500000</v>
      </c>
      <c r="F96" s="562">
        <v>1750000000</v>
      </c>
      <c r="G96" s="563">
        <v>131732500</v>
      </c>
    </row>
    <row r="97" spans="1:7" x14ac:dyDescent="0.25">
      <c r="A97" s="38">
        <f t="shared" si="1"/>
        <v>48791</v>
      </c>
      <c r="B97" s="39" t="s">
        <v>4449</v>
      </c>
      <c r="C97" s="560">
        <v>48791</v>
      </c>
      <c r="D97" s="40">
        <v>86</v>
      </c>
      <c r="E97" s="561">
        <v>18880500000</v>
      </c>
      <c r="F97" s="562">
        <v>10000000</v>
      </c>
      <c r="G97" s="563">
        <v>1588400</v>
      </c>
    </row>
    <row r="98" spans="1:7" x14ac:dyDescent="0.25">
      <c r="A98" s="38">
        <f t="shared" si="1"/>
        <v>48822</v>
      </c>
      <c r="B98" s="39" t="s">
        <v>4450</v>
      </c>
      <c r="C98" s="560">
        <v>48822</v>
      </c>
      <c r="D98" s="40">
        <v>87</v>
      </c>
      <c r="E98" s="561">
        <v>18870500000</v>
      </c>
      <c r="F98" s="562">
        <v>0</v>
      </c>
      <c r="G98" s="563">
        <v>6233750</v>
      </c>
    </row>
    <row r="99" spans="1:7" x14ac:dyDescent="0.25">
      <c r="A99" s="38">
        <f t="shared" si="1"/>
        <v>48852</v>
      </c>
      <c r="B99" s="39" t="s">
        <v>4451</v>
      </c>
      <c r="C99" s="560">
        <v>48852</v>
      </c>
      <c r="D99" s="40">
        <v>88</v>
      </c>
      <c r="E99" s="561">
        <v>18870500000</v>
      </c>
      <c r="F99" s="562">
        <v>0</v>
      </c>
      <c r="G99" s="563">
        <v>7901400</v>
      </c>
    </row>
    <row r="100" spans="1:7" x14ac:dyDescent="0.25">
      <c r="A100" s="38">
        <f t="shared" si="1"/>
        <v>48883</v>
      </c>
      <c r="B100" s="39" t="s">
        <v>4452</v>
      </c>
      <c r="C100" s="560">
        <v>48883</v>
      </c>
      <c r="D100" s="40">
        <v>89</v>
      </c>
      <c r="E100" s="561">
        <v>18870500000</v>
      </c>
      <c r="F100" s="562">
        <v>2040000000</v>
      </c>
      <c r="G100" s="563">
        <v>160862660</v>
      </c>
    </row>
    <row r="101" spans="1:7" x14ac:dyDescent="0.25">
      <c r="A101" s="38">
        <f t="shared" si="1"/>
        <v>48913</v>
      </c>
      <c r="B101" s="39" t="s">
        <v>4453</v>
      </c>
      <c r="C101" s="560">
        <v>48913</v>
      </c>
      <c r="D101" s="40">
        <v>90</v>
      </c>
      <c r="E101" s="561">
        <v>16830500000</v>
      </c>
      <c r="F101" s="562">
        <v>30500000</v>
      </c>
      <c r="G101" s="563">
        <v>5290800</v>
      </c>
    </row>
    <row r="102" spans="1:7" x14ac:dyDescent="0.25">
      <c r="A102" s="38">
        <f t="shared" si="1"/>
        <v>48944</v>
      </c>
      <c r="B102" s="39" t="s">
        <v>4454</v>
      </c>
      <c r="C102" s="560">
        <v>48944</v>
      </c>
      <c r="D102" s="40">
        <v>91</v>
      </c>
      <c r="E102" s="561">
        <v>16800000000</v>
      </c>
      <c r="F102" s="562">
        <v>0</v>
      </c>
      <c r="G102" s="563">
        <v>7843900</v>
      </c>
    </row>
    <row r="103" spans="1:7" x14ac:dyDescent="0.25">
      <c r="A103" s="38">
        <f t="shared" si="1"/>
        <v>48975</v>
      </c>
      <c r="B103" s="39" t="s">
        <v>4455</v>
      </c>
      <c r="C103" s="560">
        <v>48975</v>
      </c>
      <c r="D103" s="40">
        <v>92</v>
      </c>
      <c r="E103" s="561">
        <v>16800000000</v>
      </c>
      <c r="F103" s="562">
        <v>50000000</v>
      </c>
      <c r="G103" s="563">
        <v>66158690</v>
      </c>
    </row>
    <row r="104" spans="1:7" x14ac:dyDescent="0.25">
      <c r="A104" s="38">
        <f t="shared" si="1"/>
        <v>49003</v>
      </c>
      <c r="B104" s="39" t="s">
        <v>4456</v>
      </c>
      <c r="C104" s="560">
        <v>49003</v>
      </c>
      <c r="D104" s="40">
        <v>93</v>
      </c>
      <c r="E104" s="561">
        <v>16750000000</v>
      </c>
      <c r="F104" s="562">
        <v>150000000</v>
      </c>
      <c r="G104" s="563">
        <v>45041000</v>
      </c>
    </row>
    <row r="105" spans="1:7" x14ac:dyDescent="0.25">
      <c r="A105" s="38">
        <f t="shared" si="1"/>
        <v>49034</v>
      </c>
      <c r="B105" s="39" t="s">
        <v>4457</v>
      </c>
      <c r="C105" s="560">
        <v>49034</v>
      </c>
      <c r="D105" s="40">
        <v>94</v>
      </c>
      <c r="E105" s="561">
        <v>16600000000</v>
      </c>
      <c r="F105" s="562">
        <v>0</v>
      </c>
      <c r="G105" s="563">
        <v>13255223</v>
      </c>
    </row>
    <row r="106" spans="1:7" x14ac:dyDescent="0.25">
      <c r="A106" s="38">
        <f t="shared" si="1"/>
        <v>49064</v>
      </c>
      <c r="B106" s="39" t="s">
        <v>4458</v>
      </c>
      <c r="C106" s="560">
        <v>49064</v>
      </c>
      <c r="D106" s="40">
        <v>95</v>
      </c>
      <c r="E106" s="561">
        <v>16600000000</v>
      </c>
      <c r="F106" s="562">
        <v>100000000</v>
      </c>
      <c r="G106" s="563">
        <v>42548400</v>
      </c>
    </row>
    <row r="107" spans="1:7" x14ac:dyDescent="0.25">
      <c r="A107" s="38">
        <f t="shared" si="1"/>
        <v>49095</v>
      </c>
      <c r="B107" s="39" t="s">
        <v>4459</v>
      </c>
      <c r="C107" s="560">
        <v>49095</v>
      </c>
      <c r="D107" s="40">
        <v>96</v>
      </c>
      <c r="E107" s="561">
        <v>16500000000</v>
      </c>
      <c r="F107" s="562">
        <v>1562000000</v>
      </c>
      <c r="G107" s="563">
        <v>-36276720</v>
      </c>
    </row>
    <row r="108" spans="1:7" x14ac:dyDescent="0.25">
      <c r="A108" s="38">
        <f t="shared" si="1"/>
        <v>49125</v>
      </c>
      <c r="B108" s="39" t="s">
        <v>4460</v>
      </c>
      <c r="C108" s="560">
        <v>49125</v>
      </c>
      <c r="D108" s="40">
        <v>97</v>
      </c>
      <c r="E108" s="561">
        <v>14938000000</v>
      </c>
      <c r="F108" s="562">
        <v>0</v>
      </c>
      <c r="G108" s="563">
        <v>73770000</v>
      </c>
    </row>
    <row r="109" spans="1:7" x14ac:dyDescent="0.25">
      <c r="A109" s="38">
        <f t="shared" si="1"/>
        <v>49156</v>
      </c>
      <c r="B109" s="39" t="s">
        <v>4461</v>
      </c>
      <c r="C109" s="560">
        <v>49156</v>
      </c>
      <c r="D109" s="40">
        <v>98</v>
      </c>
      <c r="E109" s="561">
        <v>14938000000</v>
      </c>
      <c r="F109" s="562">
        <v>0</v>
      </c>
      <c r="G109" s="563">
        <v>1459800</v>
      </c>
    </row>
    <row r="110" spans="1:7" x14ac:dyDescent="0.25">
      <c r="A110" s="38">
        <f t="shared" si="1"/>
        <v>49187</v>
      </c>
      <c r="B110" s="39" t="s">
        <v>4462</v>
      </c>
      <c r="C110" s="560">
        <v>49187</v>
      </c>
      <c r="D110" s="40">
        <v>99</v>
      </c>
      <c r="E110" s="561">
        <v>14938000000</v>
      </c>
      <c r="F110" s="562">
        <v>151000000</v>
      </c>
      <c r="G110" s="563">
        <v>6233750</v>
      </c>
    </row>
    <row r="111" spans="1:7" x14ac:dyDescent="0.25">
      <c r="A111" s="38">
        <f t="shared" si="1"/>
        <v>49217</v>
      </c>
      <c r="B111" s="39" t="s">
        <v>4463</v>
      </c>
      <c r="C111" s="560">
        <v>49217</v>
      </c>
      <c r="D111" s="40">
        <v>100</v>
      </c>
      <c r="E111" s="561">
        <v>14787000000</v>
      </c>
      <c r="F111" s="562">
        <v>0</v>
      </c>
      <c r="G111" s="563">
        <v>7901400</v>
      </c>
    </row>
    <row r="112" spans="1:7" x14ac:dyDescent="0.25">
      <c r="A112" s="38">
        <f t="shared" si="1"/>
        <v>49248</v>
      </c>
      <c r="B112" s="39" t="s">
        <v>4464</v>
      </c>
      <c r="C112" s="560">
        <v>49248</v>
      </c>
      <c r="D112" s="40">
        <v>101</v>
      </c>
      <c r="E112" s="561">
        <v>14787000000</v>
      </c>
      <c r="F112" s="562">
        <v>2000000000</v>
      </c>
      <c r="G112" s="563">
        <v>98849260</v>
      </c>
    </row>
    <row r="113" spans="1:7" x14ac:dyDescent="0.25">
      <c r="A113" s="38">
        <f t="shared" si="1"/>
        <v>49278</v>
      </c>
      <c r="B113" s="39" t="s">
        <v>4465</v>
      </c>
      <c r="C113" s="560">
        <v>49278</v>
      </c>
      <c r="D113" s="40">
        <v>102</v>
      </c>
      <c r="E113" s="561">
        <v>12787000000</v>
      </c>
      <c r="F113" s="562">
        <v>0</v>
      </c>
      <c r="G113" s="563">
        <v>4363650</v>
      </c>
    </row>
    <row r="114" spans="1:7" x14ac:dyDescent="0.25">
      <c r="A114" s="38">
        <f t="shared" si="1"/>
        <v>49309</v>
      </c>
      <c r="B114" s="39" t="s">
        <v>4466</v>
      </c>
      <c r="C114" s="560">
        <v>49309</v>
      </c>
      <c r="D114" s="40">
        <v>103</v>
      </c>
      <c r="E114" s="561">
        <v>12787000000</v>
      </c>
      <c r="F114" s="562">
        <v>10000000</v>
      </c>
      <c r="G114" s="563">
        <v>7843900</v>
      </c>
    </row>
    <row r="115" spans="1:7" x14ac:dyDescent="0.25">
      <c r="A115" s="38">
        <f t="shared" si="1"/>
        <v>49340</v>
      </c>
      <c r="B115" s="39" t="s">
        <v>4467</v>
      </c>
      <c r="C115" s="560">
        <v>49340</v>
      </c>
      <c r="D115" s="40">
        <v>104</v>
      </c>
      <c r="E115" s="561">
        <v>12777000000</v>
      </c>
      <c r="F115" s="562">
        <v>1150000000</v>
      </c>
      <c r="G115" s="563">
        <v>64634940</v>
      </c>
    </row>
    <row r="116" spans="1:7" x14ac:dyDescent="0.25">
      <c r="A116" s="38">
        <f t="shared" si="1"/>
        <v>49368</v>
      </c>
      <c r="B116" s="39" t="s">
        <v>4468</v>
      </c>
      <c r="C116" s="560">
        <v>49368</v>
      </c>
      <c r="D116" s="40">
        <v>105</v>
      </c>
      <c r="E116" s="561">
        <v>11627000000</v>
      </c>
      <c r="F116" s="562">
        <v>211000000</v>
      </c>
      <c r="G116" s="563">
        <v>40497500</v>
      </c>
    </row>
    <row r="117" spans="1:7" x14ac:dyDescent="0.25">
      <c r="A117" s="38">
        <f t="shared" si="1"/>
        <v>49399</v>
      </c>
      <c r="B117" s="39" t="s">
        <v>4469</v>
      </c>
      <c r="C117" s="560">
        <v>49399</v>
      </c>
      <c r="D117" s="40">
        <v>106</v>
      </c>
      <c r="E117" s="561">
        <v>11416000000</v>
      </c>
      <c r="F117" s="562">
        <v>0</v>
      </c>
      <c r="G117" s="563">
        <v>13255223</v>
      </c>
    </row>
    <row r="118" spans="1:7" x14ac:dyDescent="0.25">
      <c r="A118" s="38">
        <f t="shared" si="1"/>
        <v>49429</v>
      </c>
      <c r="B118" s="39" t="s">
        <v>4470</v>
      </c>
      <c r="C118" s="560">
        <v>49429</v>
      </c>
      <c r="D118" s="40">
        <v>107</v>
      </c>
      <c r="E118" s="561">
        <v>11416000000</v>
      </c>
      <c r="F118" s="562">
        <v>1165000000</v>
      </c>
      <c r="G118" s="563">
        <v>40503400</v>
      </c>
    </row>
    <row r="119" spans="1:7" x14ac:dyDescent="0.25">
      <c r="A119" s="38">
        <f t="shared" si="1"/>
        <v>49460</v>
      </c>
      <c r="B119" s="39" t="s">
        <v>4471</v>
      </c>
      <c r="C119" s="560">
        <v>49460</v>
      </c>
      <c r="D119" s="40">
        <v>108</v>
      </c>
      <c r="E119" s="561">
        <v>10251000000</v>
      </c>
      <c r="F119" s="562">
        <v>0</v>
      </c>
      <c r="G119" s="563">
        <v>9023480</v>
      </c>
    </row>
    <row r="120" spans="1:7" x14ac:dyDescent="0.25">
      <c r="A120" s="38">
        <f t="shared" si="1"/>
        <v>49490</v>
      </c>
      <c r="B120" s="39" t="s">
        <v>4472</v>
      </c>
      <c r="C120" s="560">
        <v>49490</v>
      </c>
      <c r="D120" s="40">
        <v>109</v>
      </c>
      <c r="E120" s="561">
        <v>10251000000</v>
      </c>
      <c r="F120" s="562">
        <v>2060000000</v>
      </c>
      <c r="G120" s="563">
        <v>73770000</v>
      </c>
    </row>
    <row r="121" spans="1:7" x14ac:dyDescent="0.25">
      <c r="A121" s="38">
        <f t="shared" si="1"/>
        <v>49521</v>
      </c>
      <c r="B121" s="39" t="s">
        <v>4473</v>
      </c>
      <c r="C121" s="560">
        <v>49521</v>
      </c>
      <c r="D121" s="40">
        <v>110</v>
      </c>
      <c r="E121" s="561">
        <v>8191000000</v>
      </c>
      <c r="F121" s="562">
        <v>0</v>
      </c>
      <c r="G121" s="563">
        <v>1459800</v>
      </c>
    </row>
    <row r="122" spans="1:7" x14ac:dyDescent="0.25">
      <c r="A122" s="38">
        <f t="shared" si="1"/>
        <v>49552</v>
      </c>
      <c r="B122" s="39" t="s">
        <v>4474</v>
      </c>
      <c r="C122" s="560">
        <v>49552</v>
      </c>
      <c r="D122" s="40">
        <v>111</v>
      </c>
      <c r="E122" s="561">
        <v>8191000000</v>
      </c>
      <c r="F122" s="562">
        <v>0</v>
      </c>
      <c r="G122" s="563">
        <v>1922700</v>
      </c>
    </row>
    <row r="123" spans="1:7" x14ac:dyDescent="0.25">
      <c r="A123" s="38">
        <f t="shared" si="1"/>
        <v>49582</v>
      </c>
      <c r="B123" s="39" t="s">
        <v>4475</v>
      </c>
      <c r="C123" s="560">
        <v>49582</v>
      </c>
      <c r="D123" s="40">
        <v>112</v>
      </c>
      <c r="E123" s="561">
        <v>8191000000</v>
      </c>
      <c r="F123" s="562">
        <v>0</v>
      </c>
      <c r="G123" s="563">
        <v>7901400</v>
      </c>
    </row>
    <row r="124" spans="1:7" x14ac:dyDescent="0.25">
      <c r="A124" s="38">
        <f t="shared" si="1"/>
        <v>49613</v>
      </c>
      <c r="B124" s="39" t="s">
        <v>4476</v>
      </c>
      <c r="C124" s="560">
        <v>49613</v>
      </c>
      <c r="D124" s="40">
        <v>113</v>
      </c>
      <c r="E124" s="561">
        <v>8191000000</v>
      </c>
      <c r="F124" s="562">
        <v>31700000</v>
      </c>
      <c r="G124" s="563">
        <v>36489260</v>
      </c>
    </row>
    <row r="125" spans="1:7" x14ac:dyDescent="0.25">
      <c r="A125" s="38">
        <f t="shared" si="1"/>
        <v>49643</v>
      </c>
      <c r="B125" s="39" t="s">
        <v>4477</v>
      </c>
      <c r="C125" s="560">
        <v>49643</v>
      </c>
      <c r="D125" s="40">
        <v>114</v>
      </c>
      <c r="E125" s="561">
        <v>8159300000</v>
      </c>
      <c r="F125" s="562">
        <v>0</v>
      </c>
      <c r="G125" s="563">
        <v>4363650</v>
      </c>
    </row>
    <row r="126" spans="1:7" x14ac:dyDescent="0.25">
      <c r="A126" s="38">
        <f t="shared" si="1"/>
        <v>49674</v>
      </c>
      <c r="B126" s="39" t="s">
        <v>4478</v>
      </c>
      <c r="C126" s="560">
        <v>49674</v>
      </c>
      <c r="D126" s="40">
        <v>115</v>
      </c>
      <c r="E126" s="561">
        <v>8159300000</v>
      </c>
      <c r="F126" s="562">
        <v>20000000</v>
      </c>
      <c r="G126" s="563">
        <v>7543900</v>
      </c>
    </row>
    <row r="127" spans="1:7" x14ac:dyDescent="0.25">
      <c r="A127" s="38">
        <f t="shared" si="1"/>
        <v>49705</v>
      </c>
      <c r="B127" s="39" t="s">
        <v>4479</v>
      </c>
      <c r="C127" s="560">
        <v>49705</v>
      </c>
      <c r="D127" s="40">
        <v>116</v>
      </c>
      <c r="E127" s="561">
        <v>8139300000</v>
      </c>
      <c r="F127" s="562">
        <v>2600000000</v>
      </c>
      <c r="G127" s="563">
        <v>58884940</v>
      </c>
    </row>
    <row r="128" spans="1:7" x14ac:dyDescent="0.25">
      <c r="A128" s="38">
        <f t="shared" si="1"/>
        <v>49734</v>
      </c>
      <c r="B128" s="39" t="s">
        <v>4480</v>
      </c>
      <c r="C128" s="560">
        <v>49734</v>
      </c>
      <c r="D128" s="40">
        <v>117</v>
      </c>
      <c r="E128" s="561">
        <v>5539300000</v>
      </c>
      <c r="F128" s="562">
        <v>1000000000</v>
      </c>
      <c r="G128" s="563">
        <v>49627646.579999998</v>
      </c>
    </row>
    <row r="129" spans="1:7" x14ac:dyDescent="0.25">
      <c r="A129" s="38">
        <f t="shared" si="1"/>
        <v>49765</v>
      </c>
      <c r="B129" s="39" t="s">
        <v>4481</v>
      </c>
      <c r="C129" s="560">
        <v>49765</v>
      </c>
      <c r="D129" s="40">
        <v>118</v>
      </c>
      <c r="E129" s="561">
        <v>4539300000</v>
      </c>
      <c r="F129" s="562">
        <v>10000000</v>
      </c>
      <c r="G129" s="563">
        <v>13255223</v>
      </c>
    </row>
    <row r="130" spans="1:7" x14ac:dyDescent="0.25">
      <c r="A130" s="38">
        <f t="shared" si="1"/>
        <v>49795</v>
      </c>
      <c r="B130" s="39" t="s">
        <v>4482</v>
      </c>
      <c r="C130" s="560">
        <v>49795</v>
      </c>
      <c r="D130" s="40">
        <v>119</v>
      </c>
      <c r="E130" s="561">
        <v>4529300000</v>
      </c>
      <c r="F130" s="562">
        <v>0</v>
      </c>
      <c r="G130" s="563">
        <v>3037000</v>
      </c>
    </row>
    <row r="131" spans="1:7" x14ac:dyDescent="0.25">
      <c r="A131" s="38">
        <f t="shared" si="1"/>
        <v>49826</v>
      </c>
      <c r="B131" s="39" t="s">
        <v>4483</v>
      </c>
      <c r="C131" s="560">
        <v>49826</v>
      </c>
      <c r="D131" s="40">
        <v>120</v>
      </c>
      <c r="E131" s="561">
        <v>4529300000</v>
      </c>
      <c r="F131" s="562">
        <v>0</v>
      </c>
      <c r="G131" s="563">
        <v>9023480</v>
      </c>
    </row>
    <row r="132" spans="1:7" x14ac:dyDescent="0.25">
      <c r="A132" s="38">
        <f t="shared" si="1"/>
        <v>49856</v>
      </c>
      <c r="B132" s="39" t="s">
        <v>4484</v>
      </c>
      <c r="C132" s="560">
        <v>49856</v>
      </c>
      <c r="D132" s="40">
        <v>121</v>
      </c>
      <c r="E132" s="561">
        <v>4529300000</v>
      </c>
      <c r="F132" s="562">
        <v>40000000</v>
      </c>
      <c r="G132" s="563">
        <v>6080000</v>
      </c>
    </row>
    <row r="133" spans="1:7" x14ac:dyDescent="0.25">
      <c r="A133" s="38">
        <f t="shared" si="1"/>
        <v>49887</v>
      </c>
      <c r="B133" s="39" t="s">
        <v>4485</v>
      </c>
      <c r="C133" s="560">
        <v>49887</v>
      </c>
      <c r="D133" s="40">
        <v>122</v>
      </c>
      <c r="E133" s="561">
        <v>4489300000</v>
      </c>
      <c r="F133" s="562">
        <v>25000000</v>
      </c>
      <c r="G133" s="563">
        <v>1459800</v>
      </c>
    </row>
    <row r="134" spans="1:7" x14ac:dyDescent="0.25">
      <c r="A134" s="38">
        <f t="shared" si="1"/>
        <v>49918</v>
      </c>
      <c r="B134" s="39" t="s">
        <v>4486</v>
      </c>
      <c r="C134" s="560">
        <v>49918</v>
      </c>
      <c r="D134" s="40">
        <v>123</v>
      </c>
      <c r="E134" s="561">
        <v>4464300000</v>
      </c>
      <c r="F134" s="562">
        <v>0</v>
      </c>
      <c r="G134" s="563">
        <v>1922700</v>
      </c>
    </row>
    <row r="135" spans="1:7" x14ac:dyDescent="0.25">
      <c r="A135" s="38">
        <f t="shared" si="1"/>
        <v>49948</v>
      </c>
      <c r="B135" s="39" t="s">
        <v>4487</v>
      </c>
      <c r="C135" s="560">
        <v>49948</v>
      </c>
      <c r="D135" s="40">
        <v>124</v>
      </c>
      <c r="E135" s="561">
        <v>4464300000</v>
      </c>
      <c r="F135" s="562">
        <v>0</v>
      </c>
      <c r="G135" s="563">
        <v>7901400</v>
      </c>
    </row>
    <row r="136" spans="1:7" x14ac:dyDescent="0.25">
      <c r="A136" s="38">
        <f t="shared" si="1"/>
        <v>49979</v>
      </c>
      <c r="B136" s="39" t="s">
        <v>4488</v>
      </c>
      <c r="C136" s="560">
        <v>49979</v>
      </c>
      <c r="D136" s="40">
        <v>125</v>
      </c>
      <c r="E136" s="561">
        <v>4464300000</v>
      </c>
      <c r="F136" s="562">
        <v>0</v>
      </c>
      <c r="G136" s="563">
        <v>35528750</v>
      </c>
    </row>
    <row r="137" spans="1:7" x14ac:dyDescent="0.25">
      <c r="A137" s="38">
        <f t="shared" si="1"/>
        <v>50009</v>
      </c>
      <c r="B137" s="39" t="s">
        <v>4489</v>
      </c>
      <c r="C137" s="560">
        <v>50009</v>
      </c>
      <c r="D137" s="40">
        <v>126</v>
      </c>
      <c r="E137" s="561">
        <v>4464300000</v>
      </c>
      <c r="F137" s="562">
        <v>0</v>
      </c>
      <c r="G137" s="563">
        <v>4363650</v>
      </c>
    </row>
    <row r="138" spans="1:7" x14ac:dyDescent="0.25">
      <c r="A138" s="38">
        <f t="shared" si="1"/>
        <v>50040</v>
      </c>
      <c r="B138" s="39" t="s">
        <v>4490</v>
      </c>
      <c r="C138" s="560">
        <v>50040</v>
      </c>
      <c r="D138" s="40">
        <v>127</v>
      </c>
      <c r="E138" s="561">
        <v>4464300000</v>
      </c>
      <c r="F138" s="562">
        <v>0</v>
      </c>
      <c r="G138" s="563">
        <v>6939900</v>
      </c>
    </row>
    <row r="139" spans="1:7" x14ac:dyDescent="0.25">
      <c r="A139" s="38">
        <f t="shared" si="1"/>
        <v>50071</v>
      </c>
      <c r="B139" s="39" t="s">
        <v>4491</v>
      </c>
      <c r="C139" s="560">
        <v>50071</v>
      </c>
      <c r="D139" s="40">
        <v>128</v>
      </c>
      <c r="E139" s="561">
        <v>4464300000</v>
      </c>
      <c r="F139" s="562">
        <v>0</v>
      </c>
      <c r="G139" s="563">
        <v>8149940</v>
      </c>
    </row>
    <row r="140" spans="1:7" x14ac:dyDescent="0.25">
      <c r="A140" s="38">
        <f t="shared" si="1"/>
        <v>50099</v>
      </c>
      <c r="B140" s="39" t="s">
        <v>4492</v>
      </c>
      <c r="C140" s="560">
        <v>50099</v>
      </c>
      <c r="D140" s="40">
        <v>129</v>
      </c>
      <c r="E140" s="561">
        <v>4464300000</v>
      </c>
      <c r="F140" s="562">
        <v>0</v>
      </c>
      <c r="G140" s="563">
        <v>2718400</v>
      </c>
    </row>
    <row r="141" spans="1:7" x14ac:dyDescent="0.25">
      <c r="A141" s="38">
        <f t="shared" ref="A141:A204" si="2">EOMONTH(A140,1)</f>
        <v>50130</v>
      </c>
      <c r="B141" s="39" t="s">
        <v>4493</v>
      </c>
      <c r="C141" s="560">
        <v>50130</v>
      </c>
      <c r="D141" s="40">
        <v>130</v>
      </c>
      <c r="E141" s="561">
        <v>4464300000</v>
      </c>
      <c r="F141" s="562">
        <v>0</v>
      </c>
      <c r="G141" s="563">
        <v>12901223</v>
      </c>
    </row>
    <row r="142" spans="1:7" x14ac:dyDescent="0.25">
      <c r="A142" s="38">
        <f t="shared" si="2"/>
        <v>50160</v>
      </c>
      <c r="B142" s="39" t="s">
        <v>4494</v>
      </c>
      <c r="C142" s="560">
        <v>50160</v>
      </c>
      <c r="D142" s="40">
        <v>131</v>
      </c>
      <c r="E142" s="561">
        <v>4464300000</v>
      </c>
      <c r="F142" s="562">
        <v>50000000</v>
      </c>
      <c r="G142" s="563">
        <v>3037000</v>
      </c>
    </row>
    <row r="143" spans="1:7" x14ac:dyDescent="0.25">
      <c r="A143" s="38">
        <f t="shared" si="2"/>
        <v>50191</v>
      </c>
      <c r="B143" s="39" t="s">
        <v>4495</v>
      </c>
      <c r="C143" s="560">
        <v>50191</v>
      </c>
      <c r="D143" s="40">
        <v>132</v>
      </c>
      <c r="E143" s="561">
        <v>4414300000</v>
      </c>
      <c r="F143" s="562">
        <v>50000000</v>
      </c>
      <c r="G143" s="563">
        <v>9023480</v>
      </c>
    </row>
    <row r="144" spans="1:7" x14ac:dyDescent="0.25">
      <c r="A144" s="38">
        <f t="shared" si="2"/>
        <v>50221</v>
      </c>
      <c r="B144" s="39" t="s">
        <v>4496</v>
      </c>
      <c r="C144" s="560">
        <v>50221</v>
      </c>
      <c r="D144" s="40">
        <v>133</v>
      </c>
      <c r="E144" s="561">
        <v>4364300000</v>
      </c>
      <c r="F144" s="562">
        <v>134000000</v>
      </c>
      <c r="G144" s="563">
        <v>5569200</v>
      </c>
    </row>
    <row r="145" spans="1:7" x14ac:dyDescent="0.25">
      <c r="A145" s="38">
        <f t="shared" si="2"/>
        <v>50252</v>
      </c>
      <c r="B145" s="39" t="s">
        <v>4497</v>
      </c>
      <c r="C145" s="560">
        <v>50252</v>
      </c>
      <c r="D145" s="40">
        <v>134</v>
      </c>
      <c r="E145" s="561">
        <v>4230300000</v>
      </c>
      <c r="F145" s="562">
        <v>5000000</v>
      </c>
      <c r="G145" s="563">
        <v>1244800</v>
      </c>
    </row>
    <row r="146" spans="1:7" x14ac:dyDescent="0.25">
      <c r="A146" s="38">
        <f t="shared" si="2"/>
        <v>50283</v>
      </c>
      <c r="B146" s="39" t="s">
        <v>4498</v>
      </c>
      <c r="C146" s="560">
        <v>50283</v>
      </c>
      <c r="D146" s="40">
        <v>135</v>
      </c>
      <c r="E146" s="561">
        <v>4225300000</v>
      </c>
      <c r="F146" s="562">
        <v>0</v>
      </c>
      <c r="G146" s="563">
        <v>1922700</v>
      </c>
    </row>
    <row r="147" spans="1:7" x14ac:dyDescent="0.25">
      <c r="A147" s="38">
        <f t="shared" si="2"/>
        <v>50313</v>
      </c>
      <c r="B147" s="39" t="s">
        <v>4499</v>
      </c>
      <c r="C147" s="560">
        <v>50313</v>
      </c>
      <c r="D147" s="40">
        <v>136</v>
      </c>
      <c r="E147" s="561">
        <v>4225300000</v>
      </c>
      <c r="F147" s="562">
        <v>0</v>
      </c>
      <c r="G147" s="563">
        <v>7901400</v>
      </c>
    </row>
    <row r="148" spans="1:7" x14ac:dyDescent="0.25">
      <c r="A148" s="38">
        <f t="shared" si="2"/>
        <v>50344</v>
      </c>
      <c r="B148" s="39" t="s">
        <v>4500</v>
      </c>
      <c r="C148" s="560">
        <v>50344</v>
      </c>
      <c r="D148" s="40">
        <v>137</v>
      </c>
      <c r="E148" s="561">
        <v>4225300000</v>
      </c>
      <c r="F148" s="562">
        <v>125000000</v>
      </c>
      <c r="G148" s="563">
        <v>35528750</v>
      </c>
    </row>
    <row r="149" spans="1:7" x14ac:dyDescent="0.25">
      <c r="A149" s="38">
        <f t="shared" si="2"/>
        <v>50374</v>
      </c>
      <c r="B149" s="39" t="s">
        <v>4501</v>
      </c>
      <c r="C149" s="560">
        <v>50374</v>
      </c>
      <c r="D149" s="40">
        <v>138</v>
      </c>
      <c r="E149" s="561">
        <v>4100300000</v>
      </c>
      <c r="F149" s="562">
        <v>0</v>
      </c>
      <c r="G149" s="563">
        <v>4363650</v>
      </c>
    </row>
    <row r="150" spans="1:7" x14ac:dyDescent="0.25">
      <c r="A150" s="38">
        <f t="shared" si="2"/>
        <v>50405</v>
      </c>
      <c r="B150" s="39" t="s">
        <v>4502</v>
      </c>
      <c r="C150" s="560">
        <v>50405</v>
      </c>
      <c r="D150" s="40">
        <v>139</v>
      </c>
      <c r="E150" s="561">
        <v>4100300000</v>
      </c>
      <c r="F150" s="562">
        <v>0</v>
      </c>
      <c r="G150" s="563">
        <v>6939900</v>
      </c>
    </row>
    <row r="151" spans="1:7" x14ac:dyDescent="0.25">
      <c r="A151" s="38">
        <f t="shared" si="2"/>
        <v>50436</v>
      </c>
      <c r="B151" s="39" t="s">
        <v>4503</v>
      </c>
      <c r="C151" s="560">
        <v>50436</v>
      </c>
      <c r="D151" s="40">
        <v>140</v>
      </c>
      <c r="E151" s="561">
        <v>4100300000</v>
      </c>
      <c r="F151" s="562">
        <v>30000000</v>
      </c>
      <c r="G151" s="563">
        <v>8149940</v>
      </c>
    </row>
    <row r="152" spans="1:7" x14ac:dyDescent="0.25">
      <c r="A152" s="38">
        <f t="shared" si="2"/>
        <v>50464</v>
      </c>
      <c r="B152" s="39" t="s">
        <v>4504</v>
      </c>
      <c r="C152" s="560">
        <v>50464</v>
      </c>
      <c r="D152" s="40">
        <v>141</v>
      </c>
      <c r="E152" s="561">
        <v>4070300000</v>
      </c>
      <c r="F152" s="562">
        <v>0</v>
      </c>
      <c r="G152" s="563">
        <v>2718400</v>
      </c>
    </row>
    <row r="153" spans="1:7" x14ac:dyDescent="0.25">
      <c r="A153" s="38">
        <f t="shared" si="2"/>
        <v>50495</v>
      </c>
      <c r="B153" s="39" t="s">
        <v>4505</v>
      </c>
      <c r="C153" s="560">
        <v>50495</v>
      </c>
      <c r="D153" s="40">
        <v>142</v>
      </c>
      <c r="E153" s="561">
        <v>4070300000</v>
      </c>
      <c r="F153" s="562">
        <v>130000000</v>
      </c>
      <c r="G153" s="563">
        <v>12901223</v>
      </c>
    </row>
    <row r="154" spans="1:7" x14ac:dyDescent="0.25">
      <c r="A154" s="38">
        <f t="shared" si="2"/>
        <v>50525</v>
      </c>
      <c r="B154" s="39" t="s">
        <v>4506</v>
      </c>
      <c r="C154" s="560">
        <v>50525</v>
      </c>
      <c r="D154" s="40">
        <v>143</v>
      </c>
      <c r="E154" s="561">
        <v>3940300000</v>
      </c>
      <c r="F154" s="562">
        <v>75000000</v>
      </c>
      <c r="G154" s="563">
        <v>2257000</v>
      </c>
    </row>
    <row r="155" spans="1:7" x14ac:dyDescent="0.25">
      <c r="A155" s="38">
        <f t="shared" si="2"/>
        <v>50556</v>
      </c>
      <c r="B155" s="39" t="s">
        <v>4507</v>
      </c>
      <c r="C155" s="560">
        <v>50556</v>
      </c>
      <c r="D155" s="40">
        <v>144</v>
      </c>
      <c r="E155" s="561">
        <v>3865300000</v>
      </c>
      <c r="F155" s="562">
        <v>50000000</v>
      </c>
      <c r="G155" s="563">
        <v>8263480</v>
      </c>
    </row>
    <row r="156" spans="1:7" x14ac:dyDescent="0.25">
      <c r="A156" s="38">
        <f t="shared" si="2"/>
        <v>50586</v>
      </c>
      <c r="B156" s="39" t="s">
        <v>4508</v>
      </c>
      <c r="C156" s="560">
        <v>50586</v>
      </c>
      <c r="D156" s="40">
        <v>145</v>
      </c>
      <c r="E156" s="561">
        <v>3815300000</v>
      </c>
      <c r="F156" s="562">
        <v>50000000</v>
      </c>
      <c r="G156" s="563">
        <v>3610300</v>
      </c>
    </row>
    <row r="157" spans="1:7" x14ac:dyDescent="0.25">
      <c r="A157" s="38">
        <f t="shared" si="2"/>
        <v>50617</v>
      </c>
      <c r="B157" s="39" t="s">
        <v>4509</v>
      </c>
      <c r="C157" s="560">
        <v>50617</v>
      </c>
      <c r="D157" s="40">
        <v>146</v>
      </c>
      <c r="E157" s="561">
        <v>3765300000</v>
      </c>
      <c r="F157" s="562">
        <v>0</v>
      </c>
      <c r="G157" s="563">
        <v>1164300</v>
      </c>
    </row>
    <row r="158" spans="1:7" x14ac:dyDescent="0.25">
      <c r="A158" s="38">
        <f t="shared" si="2"/>
        <v>50648</v>
      </c>
      <c r="B158" s="39" t="s">
        <v>4510</v>
      </c>
      <c r="C158" s="560">
        <v>50648</v>
      </c>
      <c r="D158" s="40">
        <v>147</v>
      </c>
      <c r="E158" s="561">
        <v>3765300000</v>
      </c>
      <c r="F158" s="562">
        <v>25000000</v>
      </c>
      <c r="G158" s="563">
        <v>1922700</v>
      </c>
    </row>
    <row r="159" spans="1:7" x14ac:dyDescent="0.25">
      <c r="A159" s="38">
        <f t="shared" si="2"/>
        <v>50678</v>
      </c>
      <c r="B159" s="39" t="s">
        <v>4511</v>
      </c>
      <c r="C159" s="560">
        <v>50678</v>
      </c>
      <c r="D159" s="40">
        <v>148</v>
      </c>
      <c r="E159" s="561">
        <v>3740300000</v>
      </c>
      <c r="F159" s="562">
        <v>200000000</v>
      </c>
      <c r="G159" s="563">
        <v>7901400</v>
      </c>
    </row>
    <row r="160" spans="1:7" x14ac:dyDescent="0.25">
      <c r="A160" s="38">
        <f t="shared" si="2"/>
        <v>50709</v>
      </c>
      <c r="B160" s="39" t="s">
        <v>4512</v>
      </c>
      <c r="C160" s="560">
        <v>50709</v>
      </c>
      <c r="D160" s="40">
        <v>149</v>
      </c>
      <c r="E160" s="561">
        <v>3540300000</v>
      </c>
      <c r="F160" s="562">
        <v>0</v>
      </c>
      <c r="G160" s="563">
        <v>33601500</v>
      </c>
    </row>
    <row r="161" spans="1:7" x14ac:dyDescent="0.25">
      <c r="A161" s="38">
        <f t="shared" si="2"/>
        <v>50739</v>
      </c>
      <c r="B161" s="39" t="s">
        <v>4513</v>
      </c>
      <c r="C161" s="560">
        <v>50739</v>
      </c>
      <c r="D161" s="40">
        <v>150</v>
      </c>
      <c r="E161" s="561">
        <v>3540300000</v>
      </c>
      <c r="F161" s="562">
        <v>50000000</v>
      </c>
      <c r="G161" s="563">
        <v>4363650</v>
      </c>
    </row>
    <row r="162" spans="1:7" x14ac:dyDescent="0.25">
      <c r="A162" s="38">
        <f t="shared" si="2"/>
        <v>50770</v>
      </c>
      <c r="B162" s="39" t="s">
        <v>4514</v>
      </c>
      <c r="C162" s="560">
        <v>50770</v>
      </c>
      <c r="D162" s="40">
        <v>151</v>
      </c>
      <c r="E162" s="561">
        <v>3490300000</v>
      </c>
      <c r="F162" s="562">
        <v>55000000</v>
      </c>
      <c r="G162" s="563">
        <v>6939900</v>
      </c>
    </row>
    <row r="163" spans="1:7" x14ac:dyDescent="0.25">
      <c r="A163" s="38">
        <f t="shared" si="2"/>
        <v>50801</v>
      </c>
      <c r="B163" s="39" t="s">
        <v>4515</v>
      </c>
      <c r="C163" s="560">
        <v>50801</v>
      </c>
      <c r="D163" s="40">
        <v>152</v>
      </c>
      <c r="E163" s="561">
        <v>3435300000</v>
      </c>
      <c r="F163" s="562">
        <v>102000000</v>
      </c>
      <c r="G163" s="563">
        <v>7712540</v>
      </c>
    </row>
    <row r="164" spans="1:7" x14ac:dyDescent="0.25">
      <c r="A164" s="38">
        <f t="shared" si="2"/>
        <v>50829</v>
      </c>
      <c r="B164" s="39" t="s">
        <v>4516</v>
      </c>
      <c r="C164" s="560">
        <v>50829</v>
      </c>
      <c r="D164" s="40">
        <v>153</v>
      </c>
      <c r="E164" s="561">
        <v>3333300000</v>
      </c>
      <c r="F164" s="562">
        <v>50000000</v>
      </c>
      <c r="G164" s="563">
        <v>2718400</v>
      </c>
    </row>
    <row r="165" spans="1:7" x14ac:dyDescent="0.25">
      <c r="A165" s="38">
        <f t="shared" si="2"/>
        <v>50860</v>
      </c>
      <c r="B165" s="39" t="s">
        <v>4517</v>
      </c>
      <c r="C165" s="560">
        <v>50860</v>
      </c>
      <c r="D165" s="40">
        <v>154</v>
      </c>
      <c r="E165" s="561">
        <v>3283300000</v>
      </c>
      <c r="F165" s="562">
        <v>125000000</v>
      </c>
      <c r="G165" s="563">
        <v>11003723</v>
      </c>
    </row>
    <row r="166" spans="1:7" x14ac:dyDescent="0.25">
      <c r="A166" s="38">
        <f t="shared" si="2"/>
        <v>50890</v>
      </c>
      <c r="B166" s="39" t="s">
        <v>4518</v>
      </c>
      <c r="C166" s="560">
        <v>50890</v>
      </c>
      <c r="D166" s="40">
        <v>155</v>
      </c>
      <c r="E166" s="561">
        <v>3158300000</v>
      </c>
      <c r="F166" s="562">
        <v>0</v>
      </c>
      <c r="G166" s="563">
        <v>1066750</v>
      </c>
    </row>
    <row r="167" spans="1:7" x14ac:dyDescent="0.25">
      <c r="A167" s="38">
        <f t="shared" si="2"/>
        <v>50921</v>
      </c>
      <c r="B167" s="39" t="s">
        <v>4519</v>
      </c>
      <c r="C167" s="560">
        <v>50921</v>
      </c>
      <c r="D167" s="40">
        <v>156</v>
      </c>
      <c r="E167" s="561">
        <v>3158300000</v>
      </c>
      <c r="F167" s="562">
        <v>45000000</v>
      </c>
      <c r="G167" s="563">
        <v>7513480</v>
      </c>
    </row>
    <row r="168" spans="1:7" x14ac:dyDescent="0.25">
      <c r="A168" s="38">
        <f t="shared" si="2"/>
        <v>50951</v>
      </c>
      <c r="B168" s="39" t="s">
        <v>4520</v>
      </c>
      <c r="C168" s="560">
        <v>50951</v>
      </c>
      <c r="D168" s="40">
        <v>157</v>
      </c>
      <c r="E168" s="561">
        <v>3113300000</v>
      </c>
      <c r="F168" s="562">
        <v>45000000</v>
      </c>
      <c r="G168" s="563">
        <v>2848800</v>
      </c>
    </row>
    <row r="169" spans="1:7" x14ac:dyDescent="0.25">
      <c r="A169" s="38">
        <f t="shared" si="2"/>
        <v>50982</v>
      </c>
      <c r="B169" s="39" t="s">
        <v>4521</v>
      </c>
      <c r="C169" s="560">
        <v>50982</v>
      </c>
      <c r="D169" s="40">
        <v>158</v>
      </c>
      <c r="E169" s="561">
        <v>3068300000</v>
      </c>
      <c r="F169" s="562">
        <v>0</v>
      </c>
      <c r="G169" s="563">
        <v>1164300</v>
      </c>
    </row>
    <row r="170" spans="1:7" x14ac:dyDescent="0.25">
      <c r="A170" s="38">
        <f t="shared" si="2"/>
        <v>51013</v>
      </c>
      <c r="B170" s="39" t="s">
        <v>4522</v>
      </c>
      <c r="C170" s="560">
        <v>51013</v>
      </c>
      <c r="D170" s="40">
        <v>159</v>
      </c>
      <c r="E170" s="561">
        <v>3068300000</v>
      </c>
      <c r="F170" s="562">
        <v>0</v>
      </c>
      <c r="G170" s="563">
        <v>1555200</v>
      </c>
    </row>
    <row r="171" spans="1:7" x14ac:dyDescent="0.25">
      <c r="A171" s="38">
        <f t="shared" si="2"/>
        <v>51043</v>
      </c>
      <c r="B171" s="39" t="s">
        <v>4523</v>
      </c>
      <c r="C171" s="560">
        <v>51043</v>
      </c>
      <c r="D171" s="40">
        <v>160</v>
      </c>
      <c r="E171" s="561">
        <v>3068300000</v>
      </c>
      <c r="F171" s="562">
        <v>30000000</v>
      </c>
      <c r="G171" s="563">
        <v>917400</v>
      </c>
    </row>
    <row r="172" spans="1:7" x14ac:dyDescent="0.25">
      <c r="A172" s="38">
        <f t="shared" si="2"/>
        <v>51074</v>
      </c>
      <c r="B172" s="39" t="s">
        <v>4524</v>
      </c>
      <c r="C172" s="560">
        <v>51074</v>
      </c>
      <c r="D172" s="40">
        <v>161</v>
      </c>
      <c r="E172" s="561">
        <v>3038300000</v>
      </c>
      <c r="F172" s="562">
        <v>1010000000</v>
      </c>
      <c r="G172" s="563">
        <v>33601500</v>
      </c>
    </row>
    <row r="173" spans="1:7" x14ac:dyDescent="0.25">
      <c r="A173" s="38">
        <f t="shared" si="2"/>
        <v>51104</v>
      </c>
      <c r="B173" s="39" t="s">
        <v>4525</v>
      </c>
      <c r="C173" s="560">
        <v>51104</v>
      </c>
      <c r="D173" s="40">
        <v>162</v>
      </c>
      <c r="E173" s="561">
        <v>2028300000</v>
      </c>
      <c r="F173" s="562">
        <v>0</v>
      </c>
      <c r="G173" s="563">
        <v>3568400</v>
      </c>
    </row>
    <row r="174" spans="1:7" x14ac:dyDescent="0.25">
      <c r="A174" s="38">
        <f t="shared" si="2"/>
        <v>51135</v>
      </c>
      <c r="B174" s="39" t="s">
        <v>4526</v>
      </c>
      <c r="C174" s="560">
        <v>51135</v>
      </c>
      <c r="D174" s="40">
        <v>163</v>
      </c>
      <c r="E174" s="561">
        <v>2028300000</v>
      </c>
      <c r="F174" s="562">
        <v>50000000</v>
      </c>
      <c r="G174" s="563">
        <v>6097200</v>
      </c>
    </row>
    <row r="175" spans="1:7" x14ac:dyDescent="0.25">
      <c r="A175" s="38">
        <f t="shared" si="2"/>
        <v>51166</v>
      </c>
      <c r="B175" s="39" t="s">
        <v>4527</v>
      </c>
      <c r="C175" s="560">
        <v>51166</v>
      </c>
      <c r="D175" s="40">
        <v>164</v>
      </c>
      <c r="E175" s="561">
        <v>1978300000</v>
      </c>
      <c r="F175" s="562">
        <v>0</v>
      </c>
      <c r="G175" s="563">
        <v>5742230</v>
      </c>
    </row>
    <row r="176" spans="1:7" x14ac:dyDescent="0.25">
      <c r="A176" s="38">
        <f t="shared" si="2"/>
        <v>51195</v>
      </c>
      <c r="B176" s="39" t="s">
        <v>4528</v>
      </c>
      <c r="C176" s="560">
        <v>51195</v>
      </c>
      <c r="D176" s="40">
        <v>165</v>
      </c>
      <c r="E176" s="561">
        <v>1978300000</v>
      </c>
      <c r="F176" s="562">
        <v>0</v>
      </c>
      <c r="G176" s="563">
        <v>1968400</v>
      </c>
    </row>
    <row r="177" spans="1:7" x14ac:dyDescent="0.25">
      <c r="A177" s="38">
        <f t="shared" si="2"/>
        <v>51226</v>
      </c>
      <c r="B177" s="39" t="s">
        <v>4529</v>
      </c>
      <c r="C177" s="560">
        <v>51226</v>
      </c>
      <c r="D177" s="40">
        <v>166</v>
      </c>
      <c r="E177" s="561">
        <v>1978300000</v>
      </c>
      <c r="F177" s="562">
        <v>50000000</v>
      </c>
      <c r="G177" s="563">
        <v>9249223</v>
      </c>
    </row>
    <row r="178" spans="1:7" x14ac:dyDescent="0.25">
      <c r="A178" s="38">
        <f t="shared" si="2"/>
        <v>51256</v>
      </c>
      <c r="B178" s="39" t="s">
        <v>4530</v>
      </c>
      <c r="C178" s="560">
        <v>51256</v>
      </c>
      <c r="D178" s="40">
        <v>167</v>
      </c>
      <c r="E178" s="561">
        <v>1928300000</v>
      </c>
      <c r="F178" s="562">
        <v>0</v>
      </c>
      <c r="G178" s="563">
        <v>1066750</v>
      </c>
    </row>
    <row r="179" spans="1:7" x14ac:dyDescent="0.25">
      <c r="A179" s="38">
        <f t="shared" si="2"/>
        <v>51287</v>
      </c>
      <c r="B179" s="39" t="s">
        <v>4531</v>
      </c>
      <c r="C179" s="560">
        <v>51287</v>
      </c>
      <c r="D179" s="40">
        <v>168</v>
      </c>
      <c r="E179" s="561">
        <v>1928300000</v>
      </c>
      <c r="F179" s="562">
        <v>50000000</v>
      </c>
      <c r="G179" s="563">
        <v>6979600</v>
      </c>
    </row>
    <row r="180" spans="1:7" x14ac:dyDescent="0.25">
      <c r="A180" s="38">
        <f t="shared" si="2"/>
        <v>51317</v>
      </c>
      <c r="B180" s="39" t="s">
        <v>4532</v>
      </c>
      <c r="C180" s="560">
        <v>51317</v>
      </c>
      <c r="D180" s="40">
        <v>169</v>
      </c>
      <c r="E180" s="561">
        <v>1878300000</v>
      </c>
      <c r="F180" s="562">
        <v>0</v>
      </c>
      <c r="G180" s="563">
        <v>2004300</v>
      </c>
    </row>
    <row r="181" spans="1:7" x14ac:dyDescent="0.25">
      <c r="A181" s="38">
        <f t="shared" si="2"/>
        <v>51348</v>
      </c>
      <c r="B181" s="39" t="s">
        <v>4533</v>
      </c>
      <c r="C181" s="560">
        <v>51348</v>
      </c>
      <c r="D181" s="40">
        <v>170</v>
      </c>
      <c r="E181" s="561">
        <v>1878300000</v>
      </c>
      <c r="F181" s="562">
        <v>0</v>
      </c>
      <c r="G181" s="563">
        <v>1164300</v>
      </c>
    </row>
    <row r="182" spans="1:7" x14ac:dyDescent="0.25">
      <c r="A182" s="38">
        <f t="shared" si="2"/>
        <v>51379</v>
      </c>
      <c r="B182" s="39" t="s">
        <v>4534</v>
      </c>
      <c r="C182" s="560">
        <v>51379</v>
      </c>
      <c r="D182" s="40">
        <v>171</v>
      </c>
      <c r="E182" s="561">
        <v>1878300000</v>
      </c>
      <c r="F182" s="562">
        <v>35000000</v>
      </c>
      <c r="G182" s="563">
        <v>1555200</v>
      </c>
    </row>
    <row r="183" spans="1:7" x14ac:dyDescent="0.25">
      <c r="A183" s="38">
        <f t="shared" si="2"/>
        <v>51409</v>
      </c>
      <c r="B183" s="39" t="s">
        <v>4535</v>
      </c>
      <c r="C183" s="560">
        <v>51409</v>
      </c>
      <c r="D183" s="40">
        <v>172</v>
      </c>
      <c r="E183" s="561">
        <v>1843300000</v>
      </c>
      <c r="F183" s="562">
        <v>0</v>
      </c>
      <c r="G183" s="563">
        <v>0</v>
      </c>
    </row>
    <row r="184" spans="1:7" x14ac:dyDescent="0.25">
      <c r="A184" s="38">
        <f t="shared" si="2"/>
        <v>51440</v>
      </c>
      <c r="B184" s="39" t="s">
        <v>4536</v>
      </c>
      <c r="C184" s="560">
        <v>51440</v>
      </c>
      <c r="D184" s="40">
        <v>173</v>
      </c>
      <c r="E184" s="561">
        <v>1843300000</v>
      </c>
      <c r="F184" s="562">
        <v>0</v>
      </c>
      <c r="G184" s="563">
        <v>1012500</v>
      </c>
    </row>
    <row r="185" spans="1:7" x14ac:dyDescent="0.25">
      <c r="A185" s="38">
        <f t="shared" si="2"/>
        <v>51470</v>
      </c>
      <c r="B185" s="39" t="s">
        <v>4537</v>
      </c>
      <c r="C185" s="560">
        <v>51470</v>
      </c>
      <c r="D185" s="40">
        <v>174</v>
      </c>
      <c r="E185" s="561">
        <v>1843300000</v>
      </c>
      <c r="F185" s="562">
        <v>40000000</v>
      </c>
      <c r="G185" s="563">
        <v>3568400</v>
      </c>
    </row>
    <row r="186" spans="1:7" x14ac:dyDescent="0.25">
      <c r="A186" s="38">
        <f t="shared" si="2"/>
        <v>51501</v>
      </c>
      <c r="B186" s="39" t="s">
        <v>4538</v>
      </c>
      <c r="C186" s="560">
        <v>51501</v>
      </c>
      <c r="D186" s="40">
        <v>175</v>
      </c>
      <c r="E186" s="561">
        <v>1803300000</v>
      </c>
      <c r="F186" s="562">
        <v>0</v>
      </c>
      <c r="G186" s="563">
        <v>4817200</v>
      </c>
    </row>
    <row r="187" spans="1:7" x14ac:dyDescent="0.25">
      <c r="A187" s="38">
        <f t="shared" si="2"/>
        <v>51532</v>
      </c>
      <c r="B187" s="39" t="s">
        <v>4539</v>
      </c>
      <c r="C187" s="560">
        <v>51532</v>
      </c>
      <c r="D187" s="40">
        <v>176</v>
      </c>
      <c r="E187" s="561">
        <v>1803300000</v>
      </c>
      <c r="F187" s="562">
        <v>15000000</v>
      </c>
      <c r="G187" s="563">
        <v>5742230</v>
      </c>
    </row>
    <row r="188" spans="1:7" x14ac:dyDescent="0.25">
      <c r="A188" s="38">
        <f t="shared" si="2"/>
        <v>51560</v>
      </c>
      <c r="B188" s="39" t="s">
        <v>4540</v>
      </c>
      <c r="C188" s="560">
        <v>51560</v>
      </c>
      <c r="D188" s="40">
        <v>177</v>
      </c>
      <c r="E188" s="561">
        <v>1788300000</v>
      </c>
      <c r="F188" s="562">
        <v>35000000</v>
      </c>
      <c r="G188" s="563">
        <v>1968400</v>
      </c>
    </row>
    <row r="189" spans="1:7" x14ac:dyDescent="0.25">
      <c r="A189" s="38">
        <f t="shared" si="2"/>
        <v>51591</v>
      </c>
      <c r="B189" s="39" t="s">
        <v>4541</v>
      </c>
      <c r="C189" s="560">
        <v>51591</v>
      </c>
      <c r="D189" s="40">
        <v>178</v>
      </c>
      <c r="E189" s="561">
        <v>1753300000</v>
      </c>
      <c r="F189" s="562">
        <v>802300000</v>
      </c>
      <c r="G189" s="563">
        <v>7941723</v>
      </c>
    </row>
    <row r="190" spans="1:7" x14ac:dyDescent="0.25">
      <c r="A190" s="38">
        <f t="shared" si="2"/>
        <v>51621</v>
      </c>
      <c r="B190" s="39" t="s">
        <v>4542</v>
      </c>
      <c r="C190" s="560">
        <v>51621</v>
      </c>
      <c r="D190" s="40">
        <v>179</v>
      </c>
      <c r="E190" s="561">
        <v>951000000</v>
      </c>
      <c r="F190" s="562">
        <v>10000000</v>
      </c>
      <c r="G190" s="563">
        <v>1066750</v>
      </c>
    </row>
    <row r="191" spans="1:7" x14ac:dyDescent="0.25">
      <c r="A191" s="38">
        <f t="shared" si="2"/>
        <v>51652</v>
      </c>
      <c r="B191" s="39" t="s">
        <v>4543</v>
      </c>
      <c r="C191" s="560">
        <v>51652</v>
      </c>
      <c r="D191" s="40">
        <v>180</v>
      </c>
      <c r="E191" s="561">
        <v>941000000</v>
      </c>
      <c r="F191" s="562">
        <v>0</v>
      </c>
      <c r="G191" s="563">
        <v>6764600</v>
      </c>
    </row>
    <row r="192" spans="1:7" x14ac:dyDescent="0.25">
      <c r="A192" s="38">
        <f t="shared" si="2"/>
        <v>51682</v>
      </c>
      <c r="B192" s="39" t="s">
        <v>4544</v>
      </c>
      <c r="C192" s="560">
        <v>51682</v>
      </c>
      <c r="D192" s="40">
        <v>181</v>
      </c>
      <c r="E192" s="561">
        <v>941000000</v>
      </c>
      <c r="F192" s="562">
        <v>0</v>
      </c>
      <c r="G192" s="563">
        <v>2004300</v>
      </c>
    </row>
    <row r="193" spans="1:7" x14ac:dyDescent="0.25">
      <c r="A193" s="38">
        <f t="shared" si="2"/>
        <v>51713</v>
      </c>
      <c r="B193" s="39" t="s">
        <v>4545</v>
      </c>
      <c r="C193" s="560">
        <v>51713</v>
      </c>
      <c r="D193" s="40">
        <v>182</v>
      </c>
      <c r="E193" s="561">
        <v>941000000</v>
      </c>
      <c r="F193" s="562">
        <v>15000000</v>
      </c>
      <c r="G193" s="563">
        <v>1164300</v>
      </c>
    </row>
    <row r="194" spans="1:7" x14ac:dyDescent="0.25">
      <c r="A194" s="38">
        <f t="shared" si="2"/>
        <v>51744</v>
      </c>
      <c r="B194" s="39" t="s">
        <v>4546</v>
      </c>
      <c r="C194" s="560">
        <v>51744</v>
      </c>
      <c r="D194" s="40">
        <v>183</v>
      </c>
      <c r="E194" s="561">
        <v>926000000</v>
      </c>
      <c r="F194" s="562">
        <v>10000000</v>
      </c>
      <c r="G194" s="563">
        <v>637500</v>
      </c>
    </row>
    <row r="195" spans="1:7" x14ac:dyDescent="0.25">
      <c r="A195" s="38">
        <f t="shared" si="2"/>
        <v>51774</v>
      </c>
      <c r="B195" s="39" t="s">
        <v>4547</v>
      </c>
      <c r="C195" s="560">
        <v>51774</v>
      </c>
      <c r="D195" s="40">
        <v>184</v>
      </c>
      <c r="E195" s="561">
        <v>916000000</v>
      </c>
      <c r="F195" s="562">
        <v>0</v>
      </c>
      <c r="G195" s="563">
        <v>0</v>
      </c>
    </row>
    <row r="196" spans="1:7" x14ac:dyDescent="0.25">
      <c r="A196" s="38">
        <f t="shared" si="2"/>
        <v>51805</v>
      </c>
      <c r="B196" s="39" t="s">
        <v>4548</v>
      </c>
      <c r="C196" s="560">
        <v>51805</v>
      </c>
      <c r="D196" s="40">
        <v>185</v>
      </c>
      <c r="E196" s="561">
        <v>916000000</v>
      </c>
      <c r="F196" s="562">
        <v>0</v>
      </c>
      <c r="G196" s="563">
        <v>1012500</v>
      </c>
    </row>
    <row r="197" spans="1:7" x14ac:dyDescent="0.25">
      <c r="A197" s="38">
        <f t="shared" si="2"/>
        <v>51835</v>
      </c>
      <c r="B197" s="39" t="s">
        <v>4549</v>
      </c>
      <c r="C197" s="560">
        <v>51835</v>
      </c>
      <c r="D197" s="40">
        <v>186</v>
      </c>
      <c r="E197" s="561">
        <v>916000000</v>
      </c>
      <c r="F197" s="562">
        <v>0</v>
      </c>
      <c r="G197" s="563">
        <v>2480400</v>
      </c>
    </row>
    <row r="198" spans="1:7" x14ac:dyDescent="0.25">
      <c r="A198" s="38">
        <f t="shared" si="2"/>
        <v>51866</v>
      </c>
      <c r="B198" s="39" t="s">
        <v>4550</v>
      </c>
      <c r="C198" s="560">
        <v>51866</v>
      </c>
      <c r="D198" s="40">
        <v>187</v>
      </c>
      <c r="E198" s="561">
        <v>916000000</v>
      </c>
      <c r="F198" s="562">
        <v>0</v>
      </c>
      <c r="G198" s="563">
        <v>4817200</v>
      </c>
    </row>
    <row r="199" spans="1:7" x14ac:dyDescent="0.25">
      <c r="A199" s="38">
        <f t="shared" si="2"/>
        <v>51897</v>
      </c>
      <c r="B199" s="39" t="s">
        <v>4551</v>
      </c>
      <c r="C199" s="560">
        <v>51897</v>
      </c>
      <c r="D199" s="40">
        <v>188</v>
      </c>
      <c r="E199" s="561">
        <v>916000000</v>
      </c>
      <c r="F199" s="562">
        <v>0</v>
      </c>
      <c r="G199" s="563">
        <v>5184980</v>
      </c>
    </row>
    <row r="200" spans="1:7" x14ac:dyDescent="0.25">
      <c r="A200" s="38">
        <f t="shared" si="2"/>
        <v>51925</v>
      </c>
      <c r="B200" s="39" t="s">
        <v>4552</v>
      </c>
      <c r="C200" s="560">
        <v>51925</v>
      </c>
      <c r="D200" s="40">
        <v>189</v>
      </c>
      <c r="E200" s="561">
        <v>916000000</v>
      </c>
      <c r="F200" s="562">
        <v>50000000</v>
      </c>
      <c r="G200" s="563">
        <v>1498000</v>
      </c>
    </row>
    <row r="201" spans="1:7" x14ac:dyDescent="0.25">
      <c r="A201" s="38">
        <f t="shared" si="2"/>
        <v>51956</v>
      </c>
      <c r="B201" s="39" t="s">
        <v>4553</v>
      </c>
      <c r="C201" s="560">
        <v>51956</v>
      </c>
      <c r="D201" s="40">
        <v>190</v>
      </c>
      <c r="E201" s="561">
        <v>866000000</v>
      </c>
      <c r="F201" s="562">
        <v>75000000</v>
      </c>
      <c r="G201" s="563">
        <v>3274250</v>
      </c>
    </row>
    <row r="202" spans="1:7" x14ac:dyDescent="0.25">
      <c r="A202" s="38">
        <f t="shared" si="2"/>
        <v>51986</v>
      </c>
      <c r="B202" s="39" t="s">
        <v>4554</v>
      </c>
      <c r="C202" s="560">
        <v>51986</v>
      </c>
      <c r="D202" s="40">
        <v>191</v>
      </c>
      <c r="E202" s="561">
        <v>791000000</v>
      </c>
      <c r="F202" s="562">
        <v>0</v>
      </c>
      <c r="G202" s="563">
        <v>685250</v>
      </c>
    </row>
    <row r="203" spans="1:7" x14ac:dyDescent="0.25">
      <c r="A203" s="38">
        <f t="shared" si="2"/>
        <v>52017</v>
      </c>
      <c r="B203" s="39" t="s">
        <v>4555</v>
      </c>
      <c r="C203" s="560">
        <v>52017</v>
      </c>
      <c r="D203" s="40">
        <v>192</v>
      </c>
      <c r="E203" s="561">
        <v>791000000</v>
      </c>
      <c r="F203" s="562">
        <v>0</v>
      </c>
      <c r="G203" s="563">
        <v>6764600</v>
      </c>
    </row>
    <row r="204" spans="1:7" x14ac:dyDescent="0.25">
      <c r="A204" s="38">
        <f t="shared" si="2"/>
        <v>52047</v>
      </c>
      <c r="B204" s="39" t="s">
        <v>4556</v>
      </c>
      <c r="C204" s="560">
        <v>52047</v>
      </c>
      <c r="D204" s="40">
        <v>193</v>
      </c>
      <c r="E204" s="561">
        <v>791000000</v>
      </c>
      <c r="F204" s="562">
        <v>0</v>
      </c>
      <c r="G204" s="563">
        <v>2004300</v>
      </c>
    </row>
    <row r="205" spans="1:7" x14ac:dyDescent="0.25">
      <c r="A205" s="38">
        <f t="shared" ref="A205:A268" si="3">EOMONTH(A204,1)</f>
        <v>52078</v>
      </c>
      <c r="B205" s="39" t="s">
        <v>4557</v>
      </c>
      <c r="C205" s="560">
        <v>52078</v>
      </c>
      <c r="D205" s="40">
        <v>194</v>
      </c>
      <c r="E205" s="561">
        <v>791000000</v>
      </c>
      <c r="F205" s="562">
        <v>0</v>
      </c>
      <c r="G205" s="563">
        <v>662850</v>
      </c>
    </row>
    <row r="206" spans="1:7" x14ac:dyDescent="0.25">
      <c r="A206" s="38">
        <f t="shared" si="3"/>
        <v>52109</v>
      </c>
      <c r="B206" s="39" t="s">
        <v>4558</v>
      </c>
      <c r="C206" s="560">
        <v>52109</v>
      </c>
      <c r="D206" s="40">
        <v>195</v>
      </c>
      <c r="E206" s="561">
        <v>791000000</v>
      </c>
      <c r="F206" s="562">
        <v>0</v>
      </c>
      <c r="G206" s="563">
        <v>487500</v>
      </c>
    </row>
    <row r="207" spans="1:7" x14ac:dyDescent="0.25">
      <c r="A207" s="38">
        <f t="shared" si="3"/>
        <v>52139</v>
      </c>
      <c r="B207" s="39" t="s">
        <v>4559</v>
      </c>
      <c r="C207" s="560">
        <v>52139</v>
      </c>
      <c r="D207" s="40">
        <v>196</v>
      </c>
      <c r="E207" s="561">
        <v>791000000</v>
      </c>
      <c r="F207" s="562">
        <v>0</v>
      </c>
      <c r="G207" s="563">
        <v>0</v>
      </c>
    </row>
    <row r="208" spans="1:7" x14ac:dyDescent="0.25">
      <c r="A208" s="38">
        <f t="shared" si="3"/>
        <v>52170</v>
      </c>
      <c r="B208" s="39" t="s">
        <v>4560</v>
      </c>
      <c r="C208" s="560">
        <v>52170</v>
      </c>
      <c r="D208" s="40">
        <v>197</v>
      </c>
      <c r="E208" s="561">
        <v>791000000</v>
      </c>
      <c r="F208" s="562">
        <v>0</v>
      </c>
      <c r="G208" s="563">
        <v>1012500</v>
      </c>
    </row>
    <row r="209" spans="1:7" x14ac:dyDescent="0.25">
      <c r="A209" s="38">
        <f t="shared" si="3"/>
        <v>52200</v>
      </c>
      <c r="B209" s="39" t="s">
        <v>4561</v>
      </c>
      <c r="C209" s="560">
        <v>52200</v>
      </c>
      <c r="D209" s="40">
        <v>198</v>
      </c>
      <c r="E209" s="561">
        <v>791000000</v>
      </c>
      <c r="F209" s="562">
        <v>30000000</v>
      </c>
      <c r="G209" s="563">
        <v>2480400</v>
      </c>
    </row>
    <row r="210" spans="1:7" x14ac:dyDescent="0.25">
      <c r="A210" s="38">
        <f t="shared" si="3"/>
        <v>52231</v>
      </c>
      <c r="B210" s="39" t="s">
        <v>4562</v>
      </c>
      <c r="C210" s="560">
        <v>52231</v>
      </c>
      <c r="D210" s="40">
        <v>199</v>
      </c>
      <c r="E210" s="561">
        <v>761000000</v>
      </c>
      <c r="F210" s="562">
        <v>0</v>
      </c>
      <c r="G210" s="563">
        <v>4817200</v>
      </c>
    </row>
    <row r="211" spans="1:7" x14ac:dyDescent="0.25">
      <c r="A211" s="38">
        <f t="shared" si="3"/>
        <v>52262</v>
      </c>
      <c r="B211" s="39" t="s">
        <v>4563</v>
      </c>
      <c r="C211" s="560">
        <v>52262</v>
      </c>
      <c r="D211" s="40">
        <v>200</v>
      </c>
      <c r="E211" s="561">
        <v>761000000</v>
      </c>
      <c r="F211" s="562">
        <v>0</v>
      </c>
      <c r="G211" s="563">
        <v>5184980</v>
      </c>
    </row>
    <row r="212" spans="1:7" x14ac:dyDescent="0.25">
      <c r="A212" s="38">
        <f t="shared" si="3"/>
        <v>52290</v>
      </c>
      <c r="B212" s="39" t="s">
        <v>4564</v>
      </c>
      <c r="C212" s="560">
        <v>52290</v>
      </c>
      <c r="D212" s="40">
        <v>201</v>
      </c>
      <c r="E212" s="561">
        <v>761000000</v>
      </c>
      <c r="F212" s="562">
        <v>0</v>
      </c>
      <c r="G212" s="563">
        <v>699500</v>
      </c>
    </row>
    <row r="213" spans="1:7" x14ac:dyDescent="0.25">
      <c r="A213" s="38">
        <f t="shared" si="3"/>
        <v>52321</v>
      </c>
      <c r="B213" s="39" t="s">
        <v>4565</v>
      </c>
      <c r="C213" s="560">
        <v>52321</v>
      </c>
      <c r="D213" s="40">
        <v>202</v>
      </c>
      <c r="E213" s="561">
        <v>761000000</v>
      </c>
      <c r="F213" s="562">
        <v>0</v>
      </c>
      <c r="G213" s="563">
        <v>1549250</v>
      </c>
    </row>
    <row r="214" spans="1:7" x14ac:dyDescent="0.25">
      <c r="A214" s="38">
        <f t="shared" si="3"/>
        <v>52351</v>
      </c>
      <c r="B214" s="39" t="s">
        <v>4566</v>
      </c>
      <c r="C214" s="560">
        <v>52351</v>
      </c>
      <c r="D214" s="40">
        <v>203</v>
      </c>
      <c r="E214" s="561">
        <v>761000000</v>
      </c>
      <c r="F214" s="562">
        <v>25000000</v>
      </c>
      <c r="G214" s="563">
        <v>685250</v>
      </c>
    </row>
    <row r="215" spans="1:7" x14ac:dyDescent="0.25">
      <c r="A215" s="38">
        <f t="shared" si="3"/>
        <v>52382</v>
      </c>
      <c r="B215" s="39" t="s">
        <v>4567</v>
      </c>
      <c r="C215" s="560">
        <v>52382</v>
      </c>
      <c r="D215" s="40">
        <v>204</v>
      </c>
      <c r="E215" s="561">
        <v>736000000</v>
      </c>
      <c r="F215" s="562">
        <v>0</v>
      </c>
      <c r="G215" s="563">
        <v>6764600</v>
      </c>
    </row>
    <row r="216" spans="1:7" x14ac:dyDescent="0.25">
      <c r="A216" s="38">
        <f t="shared" si="3"/>
        <v>52412</v>
      </c>
      <c r="B216" s="39" t="s">
        <v>4568</v>
      </c>
      <c r="C216" s="560">
        <v>52412</v>
      </c>
      <c r="D216" s="40">
        <v>205</v>
      </c>
      <c r="E216" s="561">
        <v>736000000</v>
      </c>
      <c r="F216" s="562">
        <v>0</v>
      </c>
      <c r="G216" s="563">
        <v>2004300</v>
      </c>
    </row>
    <row r="217" spans="1:7" x14ac:dyDescent="0.25">
      <c r="A217" s="38">
        <f t="shared" si="3"/>
        <v>52443</v>
      </c>
      <c r="B217" s="39" t="s">
        <v>4569</v>
      </c>
      <c r="C217" s="560">
        <v>52443</v>
      </c>
      <c r="D217" s="40">
        <v>206</v>
      </c>
      <c r="E217" s="561">
        <v>736000000</v>
      </c>
      <c r="F217" s="562">
        <v>0</v>
      </c>
      <c r="G217" s="563">
        <v>662850</v>
      </c>
    </row>
    <row r="218" spans="1:7" x14ac:dyDescent="0.25">
      <c r="A218" s="38">
        <f t="shared" si="3"/>
        <v>52474</v>
      </c>
      <c r="B218" s="39" t="s">
        <v>4570</v>
      </c>
      <c r="C218" s="560">
        <v>52474</v>
      </c>
      <c r="D218" s="40">
        <v>207</v>
      </c>
      <c r="E218" s="561">
        <v>736000000</v>
      </c>
      <c r="F218" s="562">
        <v>0</v>
      </c>
      <c r="G218" s="563">
        <v>487500</v>
      </c>
    </row>
    <row r="219" spans="1:7" x14ac:dyDescent="0.25">
      <c r="A219" s="38">
        <f t="shared" si="3"/>
        <v>52504</v>
      </c>
      <c r="B219" s="39" t="s">
        <v>4571</v>
      </c>
      <c r="C219" s="560">
        <v>52504</v>
      </c>
      <c r="D219" s="40">
        <v>208</v>
      </c>
      <c r="E219" s="561">
        <v>736000000</v>
      </c>
      <c r="F219" s="562">
        <v>0</v>
      </c>
      <c r="G219" s="563">
        <v>0</v>
      </c>
    </row>
    <row r="220" spans="1:7" x14ac:dyDescent="0.25">
      <c r="A220" s="38">
        <f t="shared" si="3"/>
        <v>52535</v>
      </c>
      <c r="B220" s="39" t="s">
        <v>4572</v>
      </c>
      <c r="C220" s="560">
        <v>52535</v>
      </c>
      <c r="D220" s="40">
        <v>209</v>
      </c>
      <c r="E220" s="561">
        <v>736000000</v>
      </c>
      <c r="F220" s="562">
        <v>0</v>
      </c>
      <c r="G220" s="563">
        <v>1012500</v>
      </c>
    </row>
    <row r="221" spans="1:7" x14ac:dyDescent="0.25">
      <c r="A221" s="38">
        <f t="shared" si="3"/>
        <v>52565</v>
      </c>
      <c r="B221" s="39" t="s">
        <v>4573</v>
      </c>
      <c r="C221" s="560">
        <v>52565</v>
      </c>
      <c r="D221" s="40">
        <v>210</v>
      </c>
      <c r="E221" s="561">
        <v>736000000</v>
      </c>
      <c r="F221" s="562">
        <v>15000000</v>
      </c>
      <c r="G221" s="563">
        <v>1565400</v>
      </c>
    </row>
    <row r="222" spans="1:7" x14ac:dyDescent="0.25">
      <c r="A222" s="38">
        <f t="shared" si="3"/>
        <v>52596</v>
      </c>
      <c r="B222" s="39" t="s">
        <v>4574</v>
      </c>
      <c r="C222" s="560">
        <v>52596</v>
      </c>
      <c r="D222" s="40">
        <v>211</v>
      </c>
      <c r="E222" s="561">
        <v>721000000</v>
      </c>
      <c r="F222" s="562">
        <v>10000000</v>
      </c>
      <c r="G222" s="563">
        <v>4817200</v>
      </c>
    </row>
    <row r="223" spans="1:7" x14ac:dyDescent="0.25">
      <c r="A223" s="38">
        <f t="shared" si="3"/>
        <v>52627</v>
      </c>
      <c r="B223" s="39" t="s">
        <v>4575</v>
      </c>
      <c r="C223" s="560">
        <v>52627</v>
      </c>
      <c r="D223" s="40">
        <v>212</v>
      </c>
      <c r="E223" s="561">
        <v>711000000</v>
      </c>
      <c r="F223" s="562">
        <v>0</v>
      </c>
      <c r="G223" s="563">
        <v>5184980</v>
      </c>
    </row>
    <row r="224" spans="1:7" x14ac:dyDescent="0.25">
      <c r="A224" s="38">
        <f t="shared" si="3"/>
        <v>52656</v>
      </c>
      <c r="B224" s="39" t="s">
        <v>4576</v>
      </c>
      <c r="C224" s="560">
        <v>52656</v>
      </c>
      <c r="D224" s="40">
        <v>213</v>
      </c>
      <c r="E224" s="561">
        <v>711000000</v>
      </c>
      <c r="F224" s="562">
        <v>0</v>
      </c>
      <c r="G224" s="563">
        <v>699500</v>
      </c>
    </row>
    <row r="225" spans="1:7" x14ac:dyDescent="0.25">
      <c r="A225" s="38">
        <f t="shared" si="3"/>
        <v>52687</v>
      </c>
      <c r="B225" s="39" t="s">
        <v>4577</v>
      </c>
      <c r="C225" s="560">
        <v>52687</v>
      </c>
      <c r="D225" s="40">
        <v>214</v>
      </c>
      <c r="E225" s="561">
        <v>711000000</v>
      </c>
      <c r="F225" s="562">
        <v>0</v>
      </c>
      <c r="G225" s="563">
        <v>1549250</v>
      </c>
    </row>
    <row r="226" spans="1:7" x14ac:dyDescent="0.25">
      <c r="A226" s="38">
        <f t="shared" si="3"/>
        <v>52717</v>
      </c>
      <c r="B226" s="39" t="s">
        <v>4578</v>
      </c>
      <c r="C226" s="560">
        <v>52717</v>
      </c>
      <c r="D226" s="40">
        <v>215</v>
      </c>
      <c r="E226" s="561">
        <v>711000000</v>
      </c>
      <c r="F226" s="562">
        <v>0</v>
      </c>
      <c r="G226" s="563">
        <v>307250</v>
      </c>
    </row>
    <row r="227" spans="1:7" x14ac:dyDescent="0.25">
      <c r="A227" s="38">
        <f t="shared" si="3"/>
        <v>52748</v>
      </c>
      <c r="B227" s="39" t="s">
        <v>4579</v>
      </c>
      <c r="C227" s="560">
        <v>52748</v>
      </c>
      <c r="D227" s="40">
        <v>216</v>
      </c>
      <c r="E227" s="561">
        <v>711000000</v>
      </c>
      <c r="F227" s="562">
        <v>0</v>
      </c>
      <c r="G227" s="563">
        <v>6764600</v>
      </c>
    </row>
    <row r="228" spans="1:7" x14ac:dyDescent="0.25">
      <c r="A228" s="38">
        <f t="shared" si="3"/>
        <v>52778</v>
      </c>
      <c r="B228" s="39" t="s">
        <v>4580</v>
      </c>
      <c r="C228" s="560">
        <v>52778</v>
      </c>
      <c r="D228" s="40">
        <v>217</v>
      </c>
      <c r="E228" s="561">
        <v>711000000</v>
      </c>
      <c r="F228" s="562">
        <v>0</v>
      </c>
      <c r="G228" s="563">
        <v>2004300</v>
      </c>
    </row>
    <row r="229" spans="1:7" x14ac:dyDescent="0.25">
      <c r="A229" s="38">
        <f t="shared" si="3"/>
        <v>52809</v>
      </c>
      <c r="B229" s="39" t="s">
        <v>4581</v>
      </c>
      <c r="C229" s="560">
        <v>52809</v>
      </c>
      <c r="D229" s="40">
        <v>218</v>
      </c>
      <c r="E229" s="561">
        <v>711000000</v>
      </c>
      <c r="F229" s="562">
        <v>20000000</v>
      </c>
      <c r="G229" s="563">
        <v>3028331.1</v>
      </c>
    </row>
    <row r="230" spans="1:7" x14ac:dyDescent="0.25">
      <c r="A230" s="38">
        <f t="shared" si="3"/>
        <v>52840</v>
      </c>
      <c r="B230" s="39" t="s">
        <v>4582</v>
      </c>
      <c r="C230" s="560">
        <v>52840</v>
      </c>
      <c r="D230" s="40">
        <v>219</v>
      </c>
      <c r="E230" s="561">
        <v>691000000</v>
      </c>
      <c r="F230" s="562">
        <v>0</v>
      </c>
      <c r="G230" s="563">
        <v>487500</v>
      </c>
    </row>
    <row r="231" spans="1:7" x14ac:dyDescent="0.25">
      <c r="A231" s="38">
        <f t="shared" si="3"/>
        <v>52870</v>
      </c>
      <c r="B231" s="39" t="s">
        <v>4583</v>
      </c>
      <c r="C231" s="560">
        <v>52870</v>
      </c>
      <c r="D231" s="40">
        <v>220</v>
      </c>
      <c r="E231" s="561">
        <v>691000000</v>
      </c>
      <c r="F231" s="562">
        <v>0</v>
      </c>
      <c r="G231" s="563">
        <v>0</v>
      </c>
    </row>
    <row r="232" spans="1:7" x14ac:dyDescent="0.25">
      <c r="A232" s="38">
        <f t="shared" si="3"/>
        <v>52901</v>
      </c>
      <c r="B232" s="39" t="s">
        <v>4584</v>
      </c>
      <c r="C232" s="560">
        <v>52901</v>
      </c>
      <c r="D232" s="40">
        <v>221</v>
      </c>
      <c r="E232" s="561">
        <v>691000000</v>
      </c>
      <c r="F232" s="562">
        <v>0</v>
      </c>
      <c r="G232" s="563">
        <v>1012500</v>
      </c>
    </row>
    <row r="233" spans="1:7" x14ac:dyDescent="0.25">
      <c r="A233" s="38">
        <f t="shared" si="3"/>
        <v>52931</v>
      </c>
      <c r="B233" s="39" t="s">
        <v>4585</v>
      </c>
      <c r="C233" s="560">
        <v>52931</v>
      </c>
      <c r="D233" s="40">
        <v>222</v>
      </c>
      <c r="E233" s="561">
        <v>691000000</v>
      </c>
      <c r="F233" s="562">
        <v>0</v>
      </c>
      <c r="G233" s="563">
        <v>1113150</v>
      </c>
    </row>
    <row r="234" spans="1:7" x14ac:dyDescent="0.25">
      <c r="A234" s="38">
        <f t="shared" si="3"/>
        <v>52962</v>
      </c>
      <c r="B234" s="39" t="s">
        <v>4586</v>
      </c>
      <c r="C234" s="560">
        <v>52962</v>
      </c>
      <c r="D234" s="40">
        <v>223</v>
      </c>
      <c r="E234" s="561">
        <v>691000000</v>
      </c>
      <c r="F234" s="562">
        <v>85000000</v>
      </c>
      <c r="G234" s="563">
        <v>3422753.42</v>
      </c>
    </row>
    <row r="235" spans="1:7" x14ac:dyDescent="0.25">
      <c r="A235" s="38">
        <f t="shared" si="3"/>
        <v>52993</v>
      </c>
      <c r="B235" s="39" t="s">
        <v>4587</v>
      </c>
      <c r="C235" s="560">
        <v>52993</v>
      </c>
      <c r="D235" s="40">
        <v>224</v>
      </c>
      <c r="E235" s="561">
        <v>606000000</v>
      </c>
      <c r="F235" s="562">
        <v>0</v>
      </c>
      <c r="G235" s="563">
        <v>5184980</v>
      </c>
    </row>
    <row r="236" spans="1:7" x14ac:dyDescent="0.25">
      <c r="A236" s="38">
        <f t="shared" si="3"/>
        <v>53021</v>
      </c>
      <c r="B236" s="39" t="s">
        <v>4588</v>
      </c>
      <c r="C236" s="560">
        <v>53021</v>
      </c>
      <c r="D236" s="40">
        <v>225</v>
      </c>
      <c r="E236" s="561">
        <v>606000000</v>
      </c>
      <c r="F236" s="562">
        <v>0</v>
      </c>
      <c r="G236" s="563">
        <v>699500</v>
      </c>
    </row>
    <row r="237" spans="1:7" x14ac:dyDescent="0.25">
      <c r="A237" s="38">
        <f t="shared" si="3"/>
        <v>53052</v>
      </c>
      <c r="B237" s="39" t="s">
        <v>4589</v>
      </c>
      <c r="C237" s="560">
        <v>53052</v>
      </c>
      <c r="D237" s="40">
        <v>226</v>
      </c>
      <c r="E237" s="561">
        <v>606000000</v>
      </c>
      <c r="F237" s="562">
        <v>10000000</v>
      </c>
      <c r="G237" s="563">
        <v>1549250</v>
      </c>
    </row>
    <row r="238" spans="1:7" x14ac:dyDescent="0.25">
      <c r="A238" s="38">
        <f t="shared" si="3"/>
        <v>53082</v>
      </c>
      <c r="B238" s="39" t="s">
        <v>4590</v>
      </c>
      <c r="C238" s="560">
        <v>53082</v>
      </c>
      <c r="D238" s="40">
        <v>227</v>
      </c>
      <c r="E238" s="561">
        <v>596000000</v>
      </c>
      <c r="F238" s="562">
        <v>0</v>
      </c>
      <c r="G238" s="563">
        <v>307250</v>
      </c>
    </row>
    <row r="239" spans="1:7" x14ac:dyDescent="0.25">
      <c r="A239" s="38">
        <f t="shared" si="3"/>
        <v>53113</v>
      </c>
      <c r="B239" s="39" t="s">
        <v>4591</v>
      </c>
      <c r="C239" s="560">
        <v>53113</v>
      </c>
      <c r="D239" s="40">
        <v>228</v>
      </c>
      <c r="E239" s="561">
        <v>596000000</v>
      </c>
      <c r="F239" s="562">
        <v>60000000</v>
      </c>
      <c r="G239" s="563">
        <v>6764600</v>
      </c>
    </row>
    <row r="240" spans="1:7" x14ac:dyDescent="0.25">
      <c r="A240" s="38">
        <f t="shared" si="3"/>
        <v>53143</v>
      </c>
      <c r="B240" s="39" t="s">
        <v>4592</v>
      </c>
      <c r="C240" s="560">
        <v>53143</v>
      </c>
      <c r="D240" s="40">
        <v>229</v>
      </c>
      <c r="E240" s="561">
        <v>536000000</v>
      </c>
      <c r="F240" s="562">
        <v>0</v>
      </c>
      <c r="G240" s="563">
        <v>2004300</v>
      </c>
    </row>
    <row r="241" spans="1:7" x14ac:dyDescent="0.25">
      <c r="A241" s="38">
        <f t="shared" si="3"/>
        <v>53174</v>
      </c>
      <c r="B241" s="39" t="s">
        <v>4593</v>
      </c>
      <c r="C241" s="560">
        <v>53174</v>
      </c>
      <c r="D241" s="40">
        <v>230</v>
      </c>
      <c r="E241" s="561">
        <v>536000000</v>
      </c>
      <c r="F241" s="562">
        <v>15000000</v>
      </c>
      <c r="G241" s="563">
        <v>494250</v>
      </c>
    </row>
    <row r="242" spans="1:7" x14ac:dyDescent="0.25">
      <c r="A242" s="38">
        <f t="shared" si="3"/>
        <v>53205</v>
      </c>
      <c r="B242" s="39" t="s">
        <v>4594</v>
      </c>
      <c r="C242" s="560">
        <v>53205</v>
      </c>
      <c r="D242" s="40">
        <v>231</v>
      </c>
      <c r="E242" s="561">
        <v>521000000</v>
      </c>
      <c r="F242" s="562">
        <v>15000000</v>
      </c>
      <c r="G242" s="563">
        <v>487500</v>
      </c>
    </row>
    <row r="243" spans="1:7" x14ac:dyDescent="0.25">
      <c r="A243" s="38">
        <f t="shared" si="3"/>
        <v>53235</v>
      </c>
      <c r="B243" s="39" t="s">
        <v>4595</v>
      </c>
      <c r="C243" s="560">
        <v>53235</v>
      </c>
      <c r="D243" s="40">
        <v>232</v>
      </c>
      <c r="E243" s="561">
        <v>506000000</v>
      </c>
      <c r="F243" s="562">
        <v>0</v>
      </c>
      <c r="G243" s="563">
        <v>0</v>
      </c>
    </row>
    <row r="244" spans="1:7" x14ac:dyDescent="0.25">
      <c r="A244" s="38">
        <f t="shared" si="3"/>
        <v>53266</v>
      </c>
      <c r="B244" s="39" t="s">
        <v>4596</v>
      </c>
      <c r="C244" s="560">
        <v>53266</v>
      </c>
      <c r="D244" s="40">
        <v>233</v>
      </c>
      <c r="E244" s="561">
        <v>506000000</v>
      </c>
      <c r="F244" s="562">
        <v>15000000</v>
      </c>
      <c r="G244" s="563">
        <v>1012500</v>
      </c>
    </row>
    <row r="245" spans="1:7" x14ac:dyDescent="0.25">
      <c r="A245" s="38">
        <f t="shared" si="3"/>
        <v>53296</v>
      </c>
      <c r="B245" s="39" t="s">
        <v>4597</v>
      </c>
      <c r="C245" s="560">
        <v>53296</v>
      </c>
      <c r="D245" s="40">
        <v>234</v>
      </c>
      <c r="E245" s="561">
        <v>491000000</v>
      </c>
      <c r="F245" s="562">
        <v>15000000</v>
      </c>
      <c r="G245" s="563">
        <v>1113150</v>
      </c>
    </row>
    <row r="246" spans="1:7" x14ac:dyDescent="0.25">
      <c r="A246" s="38">
        <f t="shared" si="3"/>
        <v>53327</v>
      </c>
      <c r="B246" s="39" t="s">
        <v>4598</v>
      </c>
      <c r="C246" s="560">
        <v>53327</v>
      </c>
      <c r="D246" s="40">
        <v>235</v>
      </c>
      <c r="E246" s="561">
        <v>476000000</v>
      </c>
      <c r="F246" s="562">
        <v>0</v>
      </c>
      <c r="G246" s="563">
        <v>1917000</v>
      </c>
    </row>
    <row r="247" spans="1:7" x14ac:dyDescent="0.25">
      <c r="A247" s="38">
        <f t="shared" si="3"/>
        <v>53358</v>
      </c>
      <c r="B247" s="39" t="s">
        <v>4599</v>
      </c>
      <c r="C247" s="560">
        <v>53358</v>
      </c>
      <c r="D247" s="40">
        <v>236</v>
      </c>
      <c r="E247" s="561">
        <v>476000000</v>
      </c>
      <c r="F247" s="562">
        <v>0</v>
      </c>
      <c r="G247" s="563">
        <v>5184980</v>
      </c>
    </row>
    <row r="248" spans="1:7" x14ac:dyDescent="0.25">
      <c r="A248" s="38">
        <f t="shared" si="3"/>
        <v>53386</v>
      </c>
      <c r="B248" s="39" t="s">
        <v>4600</v>
      </c>
      <c r="C248" s="560">
        <v>53386</v>
      </c>
      <c r="D248" s="40">
        <v>237</v>
      </c>
      <c r="E248" s="561">
        <v>476000000</v>
      </c>
      <c r="F248" s="562">
        <v>10000000</v>
      </c>
      <c r="G248" s="563">
        <v>699500</v>
      </c>
    </row>
    <row r="249" spans="1:7" x14ac:dyDescent="0.25">
      <c r="A249" s="38">
        <f t="shared" si="3"/>
        <v>53417</v>
      </c>
      <c r="B249" s="39" t="s">
        <v>4601</v>
      </c>
      <c r="C249" s="560">
        <v>53417</v>
      </c>
      <c r="D249" s="40">
        <v>238</v>
      </c>
      <c r="E249" s="561">
        <v>466000000</v>
      </c>
      <c r="F249" s="562">
        <v>40000000</v>
      </c>
      <c r="G249" s="563">
        <v>1421250</v>
      </c>
    </row>
    <row r="250" spans="1:7" x14ac:dyDescent="0.25">
      <c r="A250" s="38">
        <f t="shared" si="3"/>
        <v>53447</v>
      </c>
      <c r="B250" s="39" t="s">
        <v>4602</v>
      </c>
      <c r="C250" s="560">
        <v>53447</v>
      </c>
      <c r="D250" s="40">
        <v>239</v>
      </c>
      <c r="E250" s="561">
        <v>426000000</v>
      </c>
      <c r="F250" s="562">
        <v>0</v>
      </c>
      <c r="G250" s="563">
        <v>307250</v>
      </c>
    </row>
    <row r="251" spans="1:7" x14ac:dyDescent="0.25">
      <c r="A251" s="38">
        <f t="shared" si="3"/>
        <v>53478</v>
      </c>
      <c r="B251" s="39" t="s">
        <v>4603</v>
      </c>
      <c r="C251" s="560">
        <v>53478</v>
      </c>
      <c r="D251" s="40">
        <v>240</v>
      </c>
      <c r="E251" s="561">
        <v>426000000</v>
      </c>
      <c r="F251" s="562">
        <v>0</v>
      </c>
      <c r="G251" s="563">
        <v>4418100</v>
      </c>
    </row>
    <row r="252" spans="1:7" x14ac:dyDescent="0.25">
      <c r="A252" s="38">
        <f t="shared" si="3"/>
        <v>53508</v>
      </c>
      <c r="B252" s="39" t="s">
        <v>4604</v>
      </c>
      <c r="C252" s="560">
        <v>53508</v>
      </c>
      <c r="D252" s="40">
        <v>241</v>
      </c>
      <c r="E252" s="561">
        <v>426000000</v>
      </c>
      <c r="F252" s="562">
        <v>51000000</v>
      </c>
      <c r="G252" s="563">
        <v>2004300</v>
      </c>
    </row>
    <row r="253" spans="1:7" x14ac:dyDescent="0.25">
      <c r="A253" s="38">
        <f t="shared" si="3"/>
        <v>53539</v>
      </c>
      <c r="B253" s="39" t="s">
        <v>4605</v>
      </c>
      <c r="C253" s="560">
        <v>53539</v>
      </c>
      <c r="D253" s="40">
        <v>242</v>
      </c>
      <c r="E253" s="561">
        <v>375000000</v>
      </c>
      <c r="F253" s="562">
        <v>0</v>
      </c>
      <c r="G253" s="563">
        <v>0</v>
      </c>
    </row>
    <row r="254" spans="1:7" x14ac:dyDescent="0.25">
      <c r="A254" s="38">
        <f t="shared" si="3"/>
        <v>53570</v>
      </c>
      <c r="B254" s="39" t="s">
        <v>4606</v>
      </c>
      <c r="C254" s="560">
        <v>53570</v>
      </c>
      <c r="D254" s="40">
        <v>243</v>
      </c>
      <c r="E254" s="561">
        <v>375000000</v>
      </c>
      <c r="F254" s="562">
        <v>0</v>
      </c>
      <c r="G254" s="563">
        <v>0</v>
      </c>
    </row>
    <row r="255" spans="1:7" x14ac:dyDescent="0.25">
      <c r="A255" s="38">
        <f t="shared" si="3"/>
        <v>53600</v>
      </c>
      <c r="B255" s="39" t="s">
        <v>4607</v>
      </c>
      <c r="C255" s="560">
        <v>53600</v>
      </c>
      <c r="D255" s="40">
        <v>244</v>
      </c>
      <c r="E255" s="561">
        <v>375000000</v>
      </c>
      <c r="F255" s="562">
        <v>0</v>
      </c>
      <c r="G255" s="563">
        <v>0</v>
      </c>
    </row>
    <row r="256" spans="1:7" x14ac:dyDescent="0.25">
      <c r="A256" s="38">
        <f t="shared" si="3"/>
        <v>53631</v>
      </c>
      <c r="B256" s="39" t="s">
        <v>4608</v>
      </c>
      <c r="C256" s="560">
        <v>53631</v>
      </c>
      <c r="D256" s="40">
        <v>245</v>
      </c>
      <c r="E256" s="561">
        <v>375000000</v>
      </c>
      <c r="F256" s="562">
        <v>15000000</v>
      </c>
      <c r="G256" s="563">
        <v>457500</v>
      </c>
    </row>
    <row r="257" spans="1:7" x14ac:dyDescent="0.25">
      <c r="A257" s="38">
        <f t="shared" si="3"/>
        <v>53661</v>
      </c>
      <c r="B257" s="39" t="s">
        <v>4609</v>
      </c>
      <c r="C257" s="560">
        <v>53661</v>
      </c>
      <c r="D257" s="40">
        <v>246</v>
      </c>
      <c r="E257" s="561">
        <v>360000000</v>
      </c>
      <c r="F257" s="562">
        <v>15000000</v>
      </c>
      <c r="G257" s="563">
        <v>-561108.49</v>
      </c>
    </row>
    <row r="258" spans="1:7" x14ac:dyDescent="0.25">
      <c r="A258" s="38">
        <f t="shared" si="3"/>
        <v>53692</v>
      </c>
      <c r="B258" s="39" t="s">
        <v>4610</v>
      </c>
      <c r="C258" s="560">
        <v>53692</v>
      </c>
      <c r="D258" s="40">
        <v>247</v>
      </c>
      <c r="E258" s="561">
        <v>345000000</v>
      </c>
      <c r="F258" s="562">
        <v>0</v>
      </c>
      <c r="G258" s="563">
        <v>1917000</v>
      </c>
    </row>
    <row r="259" spans="1:7" x14ac:dyDescent="0.25">
      <c r="A259" s="38">
        <f t="shared" si="3"/>
        <v>53723</v>
      </c>
      <c r="B259" s="39" t="s">
        <v>4611</v>
      </c>
      <c r="C259" s="560">
        <v>53723</v>
      </c>
      <c r="D259" s="40">
        <v>248</v>
      </c>
      <c r="E259" s="561">
        <v>345000000</v>
      </c>
      <c r="F259" s="562">
        <v>20000000</v>
      </c>
      <c r="G259" s="563">
        <v>5184980</v>
      </c>
    </row>
    <row r="260" spans="1:7" x14ac:dyDescent="0.25">
      <c r="A260" s="38">
        <f t="shared" si="3"/>
        <v>53751</v>
      </c>
      <c r="B260" s="39" t="s">
        <v>4612</v>
      </c>
      <c r="C260" s="560">
        <v>53751</v>
      </c>
      <c r="D260" s="40">
        <v>249</v>
      </c>
      <c r="E260" s="561">
        <v>325000000</v>
      </c>
      <c r="F260" s="562">
        <v>20000000</v>
      </c>
      <c r="G260" s="563">
        <v>317200</v>
      </c>
    </row>
    <row r="261" spans="1:7" x14ac:dyDescent="0.25">
      <c r="A261" s="38">
        <f t="shared" si="3"/>
        <v>53782</v>
      </c>
      <c r="B261" s="39" t="s">
        <v>4613</v>
      </c>
      <c r="C261" s="560">
        <v>53782</v>
      </c>
      <c r="D261" s="40">
        <v>250</v>
      </c>
      <c r="E261" s="561">
        <v>305000000</v>
      </c>
      <c r="F261" s="562">
        <v>0</v>
      </c>
      <c r="G261" s="563">
        <v>0</v>
      </c>
    </row>
    <row r="262" spans="1:7" x14ac:dyDescent="0.25">
      <c r="A262" s="38">
        <f t="shared" si="3"/>
        <v>53812</v>
      </c>
      <c r="B262" s="39" t="s">
        <v>4614</v>
      </c>
      <c r="C262" s="560">
        <v>53812</v>
      </c>
      <c r="D262" s="40">
        <v>251</v>
      </c>
      <c r="E262" s="561">
        <v>305000000</v>
      </c>
      <c r="F262" s="562">
        <v>0</v>
      </c>
      <c r="G262" s="563">
        <v>307250</v>
      </c>
    </row>
    <row r="263" spans="1:7" x14ac:dyDescent="0.25">
      <c r="A263" s="38">
        <f t="shared" si="3"/>
        <v>53843</v>
      </c>
      <c r="B263" s="39" t="s">
        <v>4615</v>
      </c>
      <c r="C263" s="560">
        <v>53843</v>
      </c>
      <c r="D263" s="40">
        <v>252</v>
      </c>
      <c r="E263" s="561">
        <v>305000000</v>
      </c>
      <c r="F263" s="562">
        <v>50000000</v>
      </c>
      <c r="G263" s="563">
        <v>4418100</v>
      </c>
    </row>
    <row r="264" spans="1:7" x14ac:dyDescent="0.25">
      <c r="A264" s="38">
        <f t="shared" si="3"/>
        <v>53873</v>
      </c>
      <c r="B264" s="39" t="s">
        <v>4616</v>
      </c>
      <c r="C264" s="560">
        <v>53873</v>
      </c>
      <c r="D264" s="40">
        <v>253</v>
      </c>
      <c r="E264" s="561">
        <v>255000000</v>
      </c>
      <c r="F264" s="562">
        <v>0</v>
      </c>
      <c r="G264" s="563">
        <v>0</v>
      </c>
    </row>
    <row r="265" spans="1:7" x14ac:dyDescent="0.25">
      <c r="A265" s="38">
        <f t="shared" si="3"/>
        <v>53904</v>
      </c>
      <c r="B265" s="39" t="s">
        <v>4617</v>
      </c>
      <c r="C265" s="560">
        <v>53904</v>
      </c>
      <c r="D265" s="40">
        <v>254</v>
      </c>
      <c r="E265" s="561">
        <v>255000000</v>
      </c>
      <c r="F265" s="562">
        <v>0</v>
      </c>
      <c r="G265" s="563">
        <v>0</v>
      </c>
    </row>
    <row r="266" spans="1:7" x14ac:dyDescent="0.25">
      <c r="A266" s="38">
        <f t="shared" si="3"/>
        <v>53935</v>
      </c>
      <c r="B266" s="39" t="s">
        <v>4618</v>
      </c>
      <c r="C266" s="560">
        <v>53935</v>
      </c>
      <c r="D266" s="40">
        <v>255</v>
      </c>
      <c r="E266" s="561">
        <v>255000000</v>
      </c>
      <c r="F266" s="562">
        <v>0</v>
      </c>
      <c r="G266" s="563">
        <v>0</v>
      </c>
    </row>
    <row r="267" spans="1:7" x14ac:dyDescent="0.25">
      <c r="A267" s="38">
        <f t="shared" si="3"/>
        <v>53965</v>
      </c>
      <c r="B267" s="39" t="s">
        <v>4619</v>
      </c>
      <c r="C267" s="560">
        <v>53965</v>
      </c>
      <c r="D267" s="40">
        <v>256</v>
      </c>
      <c r="E267" s="561">
        <v>255000000</v>
      </c>
      <c r="F267" s="562">
        <v>0</v>
      </c>
      <c r="G267" s="563">
        <v>0</v>
      </c>
    </row>
    <row r="268" spans="1:7" x14ac:dyDescent="0.25">
      <c r="A268" s="38">
        <f t="shared" si="3"/>
        <v>53996</v>
      </c>
      <c r="B268" s="39" t="s">
        <v>4620</v>
      </c>
      <c r="C268" s="560">
        <v>53996</v>
      </c>
      <c r="D268" s="40">
        <v>257</v>
      </c>
      <c r="E268" s="561">
        <v>255000000</v>
      </c>
      <c r="F268" s="562">
        <v>0</v>
      </c>
      <c r="G268" s="563">
        <v>0</v>
      </c>
    </row>
    <row r="269" spans="1:7" x14ac:dyDescent="0.25">
      <c r="A269" s="38">
        <f t="shared" ref="A269:A332" si="4">EOMONTH(A268,1)</f>
        <v>54026</v>
      </c>
      <c r="B269" s="39" t="s">
        <v>4621</v>
      </c>
      <c r="C269" s="560">
        <v>54026</v>
      </c>
      <c r="D269" s="40">
        <v>258</v>
      </c>
      <c r="E269" s="561">
        <v>255000000</v>
      </c>
      <c r="F269" s="562">
        <v>0</v>
      </c>
      <c r="G269" s="563">
        <v>0</v>
      </c>
    </row>
    <row r="270" spans="1:7" x14ac:dyDescent="0.25">
      <c r="A270" s="38">
        <f t="shared" si="4"/>
        <v>54057</v>
      </c>
      <c r="B270" s="39" t="s">
        <v>4622</v>
      </c>
      <c r="C270" s="560">
        <v>54057</v>
      </c>
      <c r="D270" s="40">
        <v>259</v>
      </c>
      <c r="E270" s="561">
        <v>255000000</v>
      </c>
      <c r="F270" s="562">
        <v>0</v>
      </c>
      <c r="G270" s="563">
        <v>1917000</v>
      </c>
    </row>
    <row r="271" spans="1:7" x14ac:dyDescent="0.25">
      <c r="A271" s="38">
        <f t="shared" si="4"/>
        <v>54088</v>
      </c>
      <c r="B271" s="39" t="s">
        <v>4623</v>
      </c>
      <c r="C271" s="560">
        <v>54088</v>
      </c>
      <c r="D271" s="40">
        <v>260</v>
      </c>
      <c r="E271" s="561">
        <v>255000000</v>
      </c>
      <c r="F271" s="562">
        <v>50000000</v>
      </c>
      <c r="G271" s="563">
        <v>4549380</v>
      </c>
    </row>
    <row r="272" spans="1:7" x14ac:dyDescent="0.25">
      <c r="A272" s="38">
        <f t="shared" si="4"/>
        <v>54117</v>
      </c>
      <c r="B272" s="39" t="s">
        <v>4624</v>
      </c>
      <c r="C272" s="560">
        <v>54117</v>
      </c>
      <c r="D272" s="40">
        <v>261</v>
      </c>
      <c r="E272" s="561">
        <v>205000000</v>
      </c>
      <c r="F272" s="562">
        <v>0</v>
      </c>
      <c r="G272" s="563">
        <v>0</v>
      </c>
    </row>
    <row r="273" spans="1:7" x14ac:dyDescent="0.25">
      <c r="A273" s="38">
        <f t="shared" si="4"/>
        <v>54148</v>
      </c>
      <c r="B273" s="39" t="s">
        <v>4625</v>
      </c>
      <c r="C273" s="560">
        <v>54148</v>
      </c>
      <c r="D273" s="40">
        <v>262</v>
      </c>
      <c r="E273" s="561">
        <v>205000000</v>
      </c>
      <c r="F273" s="562">
        <v>0</v>
      </c>
      <c r="G273" s="563">
        <v>0</v>
      </c>
    </row>
    <row r="274" spans="1:7" x14ac:dyDescent="0.25">
      <c r="A274" s="38">
        <f t="shared" si="4"/>
        <v>54178</v>
      </c>
      <c r="B274" s="39" t="s">
        <v>4626</v>
      </c>
      <c r="C274" s="560">
        <v>54178</v>
      </c>
      <c r="D274" s="40">
        <v>263</v>
      </c>
      <c r="E274" s="561">
        <v>205000000</v>
      </c>
      <c r="F274" s="562">
        <v>0</v>
      </c>
      <c r="G274" s="563">
        <v>307250</v>
      </c>
    </row>
    <row r="275" spans="1:7" x14ac:dyDescent="0.25">
      <c r="A275" s="38">
        <f t="shared" si="4"/>
        <v>54209</v>
      </c>
      <c r="B275" s="39" t="s">
        <v>4627</v>
      </c>
      <c r="C275" s="560">
        <v>54209</v>
      </c>
      <c r="D275" s="40">
        <v>264</v>
      </c>
      <c r="E275" s="561">
        <v>205000000</v>
      </c>
      <c r="F275" s="562">
        <v>62000000</v>
      </c>
      <c r="G275" s="563">
        <v>2421100</v>
      </c>
    </row>
    <row r="276" spans="1:7" x14ac:dyDescent="0.25">
      <c r="A276" s="38">
        <f t="shared" si="4"/>
        <v>54239</v>
      </c>
      <c r="B276" s="39" t="s">
        <v>4628</v>
      </c>
      <c r="C276" s="560">
        <v>54239</v>
      </c>
      <c r="D276" s="40">
        <v>265</v>
      </c>
      <c r="E276" s="561">
        <v>143000000</v>
      </c>
      <c r="F276" s="562">
        <v>0</v>
      </c>
      <c r="G276" s="563">
        <v>0</v>
      </c>
    </row>
    <row r="277" spans="1:7" x14ac:dyDescent="0.25">
      <c r="A277" s="38">
        <f t="shared" si="4"/>
        <v>54270</v>
      </c>
      <c r="B277" s="39" t="s">
        <v>4629</v>
      </c>
      <c r="C277" s="560">
        <v>54270</v>
      </c>
      <c r="D277" s="40">
        <v>266</v>
      </c>
      <c r="E277" s="561">
        <v>143000000</v>
      </c>
      <c r="F277" s="562">
        <v>0</v>
      </c>
      <c r="G277" s="563">
        <v>0</v>
      </c>
    </row>
    <row r="278" spans="1:7" x14ac:dyDescent="0.25">
      <c r="A278" s="38">
        <f t="shared" si="4"/>
        <v>54301</v>
      </c>
      <c r="B278" s="39" t="s">
        <v>4630</v>
      </c>
      <c r="C278" s="560">
        <v>54301</v>
      </c>
      <c r="D278" s="40">
        <v>267</v>
      </c>
      <c r="E278" s="561">
        <v>143000000</v>
      </c>
      <c r="F278" s="562">
        <v>0</v>
      </c>
      <c r="G278" s="563">
        <v>0</v>
      </c>
    </row>
    <row r="279" spans="1:7" x14ac:dyDescent="0.25">
      <c r="A279" s="38">
        <f t="shared" si="4"/>
        <v>54331</v>
      </c>
      <c r="B279" s="39" t="s">
        <v>4631</v>
      </c>
      <c r="C279" s="560">
        <v>54331</v>
      </c>
      <c r="D279" s="40">
        <v>268</v>
      </c>
      <c r="E279" s="561">
        <v>143000000</v>
      </c>
      <c r="F279" s="562">
        <v>0</v>
      </c>
      <c r="G279" s="563">
        <v>0</v>
      </c>
    </row>
    <row r="280" spans="1:7" x14ac:dyDescent="0.25">
      <c r="A280" s="38">
        <f t="shared" si="4"/>
        <v>54362</v>
      </c>
      <c r="B280" s="39" t="s">
        <v>4632</v>
      </c>
      <c r="C280" s="560">
        <v>54362</v>
      </c>
      <c r="D280" s="40">
        <v>269</v>
      </c>
      <c r="E280" s="561">
        <v>143000000</v>
      </c>
      <c r="F280" s="562">
        <v>0</v>
      </c>
      <c r="G280" s="563">
        <v>0</v>
      </c>
    </row>
    <row r="281" spans="1:7" x14ac:dyDescent="0.25">
      <c r="A281" s="38">
        <f t="shared" si="4"/>
        <v>54392</v>
      </c>
      <c r="B281" s="39" t="s">
        <v>4633</v>
      </c>
      <c r="C281" s="560">
        <v>54392</v>
      </c>
      <c r="D281" s="40">
        <v>270</v>
      </c>
      <c r="E281" s="561">
        <v>143000000</v>
      </c>
      <c r="F281" s="562">
        <v>0</v>
      </c>
      <c r="G281" s="563">
        <v>0</v>
      </c>
    </row>
    <row r="282" spans="1:7" x14ac:dyDescent="0.25">
      <c r="A282" s="38">
        <f t="shared" si="4"/>
        <v>54423</v>
      </c>
      <c r="B282" s="39" t="s">
        <v>4634</v>
      </c>
      <c r="C282" s="560">
        <v>54423</v>
      </c>
      <c r="D282" s="40">
        <v>271</v>
      </c>
      <c r="E282" s="561">
        <v>143000000</v>
      </c>
      <c r="F282" s="562">
        <v>0</v>
      </c>
      <c r="G282" s="563">
        <v>1917000</v>
      </c>
    </row>
    <row r="283" spans="1:7" x14ac:dyDescent="0.25">
      <c r="A283" s="38">
        <f t="shared" si="4"/>
        <v>54454</v>
      </c>
      <c r="B283" s="39" t="s">
        <v>4635</v>
      </c>
      <c r="C283" s="560">
        <v>54454</v>
      </c>
      <c r="D283" s="40">
        <v>272</v>
      </c>
      <c r="E283" s="561">
        <v>143000000</v>
      </c>
      <c r="F283" s="562">
        <v>50000000</v>
      </c>
      <c r="G283" s="563">
        <v>2637880</v>
      </c>
    </row>
    <row r="284" spans="1:7" x14ac:dyDescent="0.25">
      <c r="A284" s="38">
        <f t="shared" si="4"/>
        <v>54482</v>
      </c>
      <c r="B284" s="39" t="s">
        <v>4636</v>
      </c>
      <c r="C284" s="560">
        <v>54482</v>
      </c>
      <c r="D284" s="40">
        <v>273</v>
      </c>
      <c r="E284" s="561">
        <v>93000000</v>
      </c>
      <c r="F284" s="562">
        <v>0</v>
      </c>
      <c r="G284" s="563">
        <v>0</v>
      </c>
    </row>
    <row r="285" spans="1:7" x14ac:dyDescent="0.25">
      <c r="A285" s="38">
        <f t="shared" si="4"/>
        <v>54513</v>
      </c>
      <c r="B285" s="39" t="s">
        <v>4637</v>
      </c>
      <c r="C285" s="560">
        <v>54513</v>
      </c>
      <c r="D285" s="40">
        <v>274</v>
      </c>
      <c r="E285" s="561">
        <v>93000000</v>
      </c>
      <c r="F285" s="562">
        <v>0</v>
      </c>
      <c r="G285" s="563">
        <v>0</v>
      </c>
    </row>
    <row r="286" spans="1:7" x14ac:dyDescent="0.25">
      <c r="A286" s="38">
        <f t="shared" si="4"/>
        <v>54543</v>
      </c>
      <c r="B286" s="39" t="s">
        <v>4638</v>
      </c>
      <c r="C286" s="560">
        <v>54543</v>
      </c>
      <c r="D286" s="40">
        <v>275</v>
      </c>
      <c r="E286" s="561">
        <v>93000000</v>
      </c>
      <c r="F286" s="562">
        <v>25000000</v>
      </c>
      <c r="G286" s="563">
        <v>307250</v>
      </c>
    </row>
    <row r="287" spans="1:7" x14ac:dyDescent="0.25">
      <c r="A287" s="38">
        <f t="shared" si="4"/>
        <v>54574</v>
      </c>
      <c r="B287" s="39" t="s">
        <v>4639</v>
      </c>
      <c r="C287" s="560">
        <v>54574</v>
      </c>
      <c r="D287" s="40">
        <v>276</v>
      </c>
      <c r="E287" s="561">
        <v>68000000</v>
      </c>
      <c r="F287" s="562">
        <v>0</v>
      </c>
      <c r="G287" s="563">
        <v>0</v>
      </c>
    </row>
    <row r="288" spans="1:7" x14ac:dyDescent="0.25">
      <c r="A288" s="38">
        <f t="shared" si="4"/>
        <v>54604</v>
      </c>
      <c r="B288" s="39" t="s">
        <v>4640</v>
      </c>
      <c r="C288" s="560">
        <v>54604</v>
      </c>
      <c r="D288" s="40">
        <v>277</v>
      </c>
      <c r="E288" s="561">
        <v>68000000</v>
      </c>
      <c r="F288" s="562">
        <v>0</v>
      </c>
      <c r="G288" s="563">
        <v>0</v>
      </c>
    </row>
    <row r="289" spans="1:7" x14ac:dyDescent="0.25">
      <c r="A289" s="38">
        <f t="shared" si="4"/>
        <v>54635</v>
      </c>
      <c r="B289" s="39" t="s">
        <v>4641</v>
      </c>
      <c r="C289" s="560">
        <v>54635</v>
      </c>
      <c r="D289" s="40">
        <v>278</v>
      </c>
      <c r="E289" s="561">
        <v>68000000</v>
      </c>
      <c r="F289" s="562">
        <v>0</v>
      </c>
      <c r="G289" s="563">
        <v>0</v>
      </c>
    </row>
    <row r="290" spans="1:7" x14ac:dyDescent="0.25">
      <c r="A290" s="38">
        <f t="shared" si="4"/>
        <v>54666</v>
      </c>
      <c r="B290" s="39" t="s">
        <v>4642</v>
      </c>
      <c r="C290" s="560">
        <v>54666</v>
      </c>
      <c r="D290" s="40">
        <v>279</v>
      </c>
      <c r="E290" s="561">
        <v>68000000</v>
      </c>
      <c r="F290" s="562">
        <v>0</v>
      </c>
      <c r="G290" s="563">
        <v>0</v>
      </c>
    </row>
    <row r="291" spans="1:7" x14ac:dyDescent="0.25">
      <c r="A291" s="38">
        <f t="shared" si="4"/>
        <v>54696</v>
      </c>
      <c r="B291" s="39" t="s">
        <v>4643</v>
      </c>
      <c r="C291" s="560">
        <v>54696</v>
      </c>
      <c r="D291" s="40">
        <v>280</v>
      </c>
      <c r="E291" s="561">
        <v>68000000</v>
      </c>
      <c r="F291" s="562">
        <v>0</v>
      </c>
      <c r="G291" s="563">
        <v>0</v>
      </c>
    </row>
    <row r="292" spans="1:7" x14ac:dyDescent="0.25">
      <c r="A292" s="38">
        <f t="shared" si="4"/>
        <v>54727</v>
      </c>
      <c r="B292" s="39" t="s">
        <v>4644</v>
      </c>
      <c r="C292" s="560">
        <v>54727</v>
      </c>
      <c r="D292" s="40">
        <v>281</v>
      </c>
      <c r="E292" s="561">
        <v>68000000</v>
      </c>
      <c r="F292" s="562">
        <v>0</v>
      </c>
      <c r="G292" s="563">
        <v>0</v>
      </c>
    </row>
    <row r="293" spans="1:7" x14ac:dyDescent="0.25">
      <c r="A293" s="38">
        <f t="shared" si="4"/>
        <v>54757</v>
      </c>
      <c r="B293" s="39" t="s">
        <v>4645</v>
      </c>
      <c r="C293" s="560">
        <v>54757</v>
      </c>
      <c r="D293" s="40">
        <v>282</v>
      </c>
      <c r="E293" s="561">
        <v>68000000</v>
      </c>
      <c r="F293" s="562">
        <v>0</v>
      </c>
      <c r="G293" s="563">
        <v>0</v>
      </c>
    </row>
    <row r="294" spans="1:7" x14ac:dyDescent="0.25">
      <c r="A294" s="38">
        <f t="shared" si="4"/>
        <v>54788</v>
      </c>
      <c r="B294" s="39" t="s">
        <v>4646</v>
      </c>
      <c r="C294" s="560">
        <v>54788</v>
      </c>
      <c r="D294" s="40">
        <v>283</v>
      </c>
      <c r="E294" s="561">
        <v>68000000</v>
      </c>
      <c r="F294" s="562">
        <v>0</v>
      </c>
      <c r="G294" s="563">
        <v>1917000</v>
      </c>
    </row>
    <row r="295" spans="1:7" x14ac:dyDescent="0.25">
      <c r="A295" s="38">
        <f t="shared" si="4"/>
        <v>54819</v>
      </c>
      <c r="B295" s="39" t="s">
        <v>4647</v>
      </c>
      <c r="C295" s="560">
        <v>54819</v>
      </c>
      <c r="D295" s="40">
        <v>284</v>
      </c>
      <c r="E295" s="561">
        <v>68000000</v>
      </c>
      <c r="F295" s="562">
        <v>0</v>
      </c>
      <c r="G295" s="563">
        <v>725880</v>
      </c>
    </row>
    <row r="296" spans="1:7" x14ac:dyDescent="0.25">
      <c r="A296" s="38">
        <f t="shared" si="4"/>
        <v>54847</v>
      </c>
      <c r="B296" s="39" t="s">
        <v>4648</v>
      </c>
      <c r="C296" s="560">
        <v>54847</v>
      </c>
      <c r="D296" s="40">
        <v>285</v>
      </c>
      <c r="E296" s="561">
        <v>68000000</v>
      </c>
      <c r="F296" s="562">
        <v>0</v>
      </c>
      <c r="G296" s="563">
        <v>0</v>
      </c>
    </row>
    <row r="297" spans="1:7" x14ac:dyDescent="0.25">
      <c r="A297" s="38">
        <f t="shared" si="4"/>
        <v>54878</v>
      </c>
      <c r="B297" s="39" t="s">
        <v>4649</v>
      </c>
      <c r="C297" s="560">
        <v>54878</v>
      </c>
      <c r="D297" s="40">
        <v>286</v>
      </c>
      <c r="E297" s="561">
        <v>68000000</v>
      </c>
      <c r="F297" s="562">
        <v>0</v>
      </c>
      <c r="G297" s="563">
        <v>0</v>
      </c>
    </row>
    <row r="298" spans="1:7" x14ac:dyDescent="0.25">
      <c r="A298" s="38">
        <f t="shared" si="4"/>
        <v>54908</v>
      </c>
      <c r="B298" s="39" t="s">
        <v>4650</v>
      </c>
      <c r="C298" s="560">
        <v>54908</v>
      </c>
      <c r="D298" s="40">
        <v>287</v>
      </c>
      <c r="E298" s="561">
        <v>68000000</v>
      </c>
      <c r="F298" s="562">
        <v>0</v>
      </c>
      <c r="G298" s="563">
        <v>0</v>
      </c>
    </row>
    <row r="299" spans="1:7" x14ac:dyDescent="0.25">
      <c r="A299" s="38">
        <f t="shared" si="4"/>
        <v>54939</v>
      </c>
      <c r="B299" s="39" t="s">
        <v>4651</v>
      </c>
      <c r="C299" s="560">
        <v>54939</v>
      </c>
      <c r="D299" s="40">
        <v>288</v>
      </c>
      <c r="E299" s="561">
        <v>68000000</v>
      </c>
      <c r="F299" s="562">
        <v>0</v>
      </c>
      <c r="G299" s="563">
        <v>0</v>
      </c>
    </row>
    <row r="300" spans="1:7" x14ac:dyDescent="0.25">
      <c r="A300" s="38">
        <f t="shared" si="4"/>
        <v>54969</v>
      </c>
      <c r="B300" s="39" t="s">
        <v>4652</v>
      </c>
      <c r="C300" s="560">
        <v>54969</v>
      </c>
      <c r="D300" s="40">
        <v>289</v>
      </c>
      <c r="E300" s="561">
        <v>68000000</v>
      </c>
      <c r="F300" s="562">
        <v>0</v>
      </c>
      <c r="G300" s="563">
        <v>0</v>
      </c>
    </row>
    <row r="301" spans="1:7" x14ac:dyDescent="0.25">
      <c r="A301" s="38">
        <f t="shared" si="4"/>
        <v>55000</v>
      </c>
      <c r="B301" s="39" t="s">
        <v>4653</v>
      </c>
      <c r="C301" s="560">
        <v>55000</v>
      </c>
      <c r="D301" s="40">
        <v>290</v>
      </c>
      <c r="E301" s="561">
        <v>68000000</v>
      </c>
      <c r="F301" s="562">
        <v>0</v>
      </c>
      <c r="G301" s="563">
        <v>0</v>
      </c>
    </row>
    <row r="302" spans="1:7" x14ac:dyDescent="0.25">
      <c r="A302" s="38">
        <f t="shared" si="4"/>
        <v>55031</v>
      </c>
      <c r="B302" s="39" t="s">
        <v>4654</v>
      </c>
      <c r="C302" s="560">
        <v>55031</v>
      </c>
      <c r="D302" s="40">
        <v>291</v>
      </c>
      <c r="E302" s="561">
        <v>68000000</v>
      </c>
      <c r="F302" s="562">
        <v>0</v>
      </c>
      <c r="G302" s="563">
        <v>0</v>
      </c>
    </row>
    <row r="303" spans="1:7" x14ac:dyDescent="0.25">
      <c r="A303" s="38">
        <f t="shared" si="4"/>
        <v>55061</v>
      </c>
      <c r="B303" s="39" t="s">
        <v>4655</v>
      </c>
      <c r="C303" s="560">
        <v>55061</v>
      </c>
      <c r="D303" s="40">
        <v>292</v>
      </c>
      <c r="E303" s="561">
        <v>68000000</v>
      </c>
      <c r="F303" s="562">
        <v>0</v>
      </c>
      <c r="G303" s="563">
        <v>0</v>
      </c>
    </row>
    <row r="304" spans="1:7" x14ac:dyDescent="0.25">
      <c r="A304" s="38">
        <f t="shared" si="4"/>
        <v>55092</v>
      </c>
      <c r="B304" s="39" t="s">
        <v>4656</v>
      </c>
      <c r="C304" s="560">
        <v>55092</v>
      </c>
      <c r="D304" s="40">
        <v>293</v>
      </c>
      <c r="E304" s="561">
        <v>68000000</v>
      </c>
      <c r="F304" s="562">
        <v>0</v>
      </c>
      <c r="G304" s="563">
        <v>0</v>
      </c>
    </row>
    <row r="305" spans="1:7" x14ac:dyDescent="0.25">
      <c r="A305" s="38">
        <f t="shared" si="4"/>
        <v>55122</v>
      </c>
      <c r="B305" s="39" t="s">
        <v>4657</v>
      </c>
      <c r="C305" s="560">
        <v>55122</v>
      </c>
      <c r="D305" s="40">
        <v>294</v>
      </c>
      <c r="E305" s="561">
        <v>68000000</v>
      </c>
      <c r="F305" s="562">
        <v>0</v>
      </c>
      <c r="G305" s="563">
        <v>0</v>
      </c>
    </row>
    <row r="306" spans="1:7" x14ac:dyDescent="0.25">
      <c r="A306" s="38">
        <f t="shared" si="4"/>
        <v>55153</v>
      </c>
      <c r="B306" s="39" t="s">
        <v>4658</v>
      </c>
      <c r="C306" s="560">
        <v>55153</v>
      </c>
      <c r="D306" s="40">
        <v>295</v>
      </c>
      <c r="E306" s="561">
        <v>68000000</v>
      </c>
      <c r="F306" s="562">
        <v>0</v>
      </c>
      <c r="G306" s="563">
        <v>1917000</v>
      </c>
    </row>
    <row r="307" spans="1:7" x14ac:dyDescent="0.25">
      <c r="A307" s="38">
        <f t="shared" si="4"/>
        <v>55184</v>
      </c>
      <c r="B307" s="39" t="s">
        <v>4659</v>
      </c>
      <c r="C307" s="560">
        <v>55184</v>
      </c>
      <c r="D307" s="40">
        <v>296</v>
      </c>
      <c r="E307" s="561">
        <v>68000000</v>
      </c>
      <c r="F307" s="562">
        <v>0</v>
      </c>
      <c r="G307" s="563">
        <v>725880</v>
      </c>
    </row>
    <row r="308" spans="1:7" x14ac:dyDescent="0.25">
      <c r="A308" s="38">
        <f t="shared" si="4"/>
        <v>55212</v>
      </c>
      <c r="B308" s="39" t="s">
        <v>4660</v>
      </c>
      <c r="C308" s="560">
        <v>55212</v>
      </c>
      <c r="D308" s="40">
        <v>297</v>
      </c>
      <c r="E308" s="561">
        <v>68000000</v>
      </c>
      <c r="F308" s="562">
        <v>0</v>
      </c>
      <c r="G308" s="563">
        <v>0</v>
      </c>
    </row>
    <row r="309" spans="1:7" x14ac:dyDescent="0.25">
      <c r="A309" s="38">
        <f t="shared" si="4"/>
        <v>55243</v>
      </c>
      <c r="B309" s="39" t="s">
        <v>4661</v>
      </c>
      <c r="C309" s="560">
        <v>55243</v>
      </c>
      <c r="D309" s="40">
        <v>298</v>
      </c>
      <c r="E309" s="561">
        <v>68000000</v>
      </c>
      <c r="F309" s="562">
        <v>0</v>
      </c>
      <c r="G309" s="563">
        <v>0</v>
      </c>
    </row>
    <row r="310" spans="1:7" x14ac:dyDescent="0.25">
      <c r="A310" s="38">
        <f t="shared" si="4"/>
        <v>55273</v>
      </c>
      <c r="B310" s="39" t="s">
        <v>4662</v>
      </c>
      <c r="C310" s="560">
        <v>55273</v>
      </c>
      <c r="D310" s="40">
        <v>299</v>
      </c>
      <c r="E310" s="561">
        <v>68000000</v>
      </c>
      <c r="F310" s="562">
        <v>0</v>
      </c>
      <c r="G310" s="563">
        <v>0</v>
      </c>
    </row>
    <row r="311" spans="1:7" x14ac:dyDescent="0.25">
      <c r="A311" s="38">
        <f t="shared" si="4"/>
        <v>55304</v>
      </c>
      <c r="B311" s="39" t="s">
        <v>4663</v>
      </c>
      <c r="C311" s="560">
        <v>55304</v>
      </c>
      <c r="D311" s="40">
        <v>300</v>
      </c>
      <c r="E311" s="561">
        <v>68000000</v>
      </c>
      <c r="F311" s="562">
        <v>0</v>
      </c>
      <c r="G311" s="563">
        <v>0</v>
      </c>
    </row>
    <row r="312" spans="1:7" x14ac:dyDescent="0.25">
      <c r="A312" s="38">
        <f t="shared" si="4"/>
        <v>55334</v>
      </c>
      <c r="B312" s="39" t="s">
        <v>4664</v>
      </c>
      <c r="C312" s="560">
        <v>55334</v>
      </c>
      <c r="D312" s="40">
        <v>301</v>
      </c>
      <c r="E312" s="561">
        <v>68000000</v>
      </c>
      <c r="F312" s="562">
        <v>0</v>
      </c>
      <c r="G312" s="563">
        <v>0</v>
      </c>
    </row>
    <row r="313" spans="1:7" x14ac:dyDescent="0.25">
      <c r="A313" s="38">
        <f t="shared" si="4"/>
        <v>55365</v>
      </c>
      <c r="B313" s="39" t="s">
        <v>4665</v>
      </c>
      <c r="C313" s="560">
        <v>55365</v>
      </c>
      <c r="D313" s="40">
        <v>302</v>
      </c>
      <c r="E313" s="561">
        <v>68000000</v>
      </c>
      <c r="F313" s="562">
        <v>0</v>
      </c>
      <c r="G313" s="563">
        <v>0</v>
      </c>
    </row>
    <row r="314" spans="1:7" x14ac:dyDescent="0.25">
      <c r="A314" s="38">
        <f t="shared" si="4"/>
        <v>55396</v>
      </c>
      <c r="B314" s="39" t="s">
        <v>4666</v>
      </c>
      <c r="C314" s="560">
        <v>55396</v>
      </c>
      <c r="D314" s="40">
        <v>303</v>
      </c>
      <c r="E314" s="561">
        <v>68000000</v>
      </c>
      <c r="F314" s="562">
        <v>0</v>
      </c>
      <c r="G314" s="563">
        <v>0</v>
      </c>
    </row>
    <row r="315" spans="1:7" x14ac:dyDescent="0.25">
      <c r="A315" s="38">
        <f t="shared" si="4"/>
        <v>55426</v>
      </c>
      <c r="B315" s="39" t="s">
        <v>4667</v>
      </c>
      <c r="C315" s="560">
        <v>55426</v>
      </c>
      <c r="D315" s="40">
        <v>304</v>
      </c>
      <c r="E315" s="561">
        <v>68000000</v>
      </c>
      <c r="F315" s="562">
        <v>0</v>
      </c>
      <c r="G315" s="563">
        <v>0</v>
      </c>
    </row>
    <row r="316" spans="1:7" x14ac:dyDescent="0.25">
      <c r="A316" s="38">
        <f t="shared" si="4"/>
        <v>55457</v>
      </c>
      <c r="B316" s="39" t="s">
        <v>4668</v>
      </c>
      <c r="C316" s="560">
        <v>55457</v>
      </c>
      <c r="D316" s="40">
        <v>305</v>
      </c>
      <c r="E316" s="561">
        <v>68000000</v>
      </c>
      <c r="F316" s="562">
        <v>0</v>
      </c>
      <c r="G316" s="563">
        <v>0</v>
      </c>
    </row>
    <row r="317" spans="1:7" x14ac:dyDescent="0.25">
      <c r="A317" s="38">
        <f t="shared" si="4"/>
        <v>55487</v>
      </c>
      <c r="B317" s="39" t="s">
        <v>4669</v>
      </c>
      <c r="C317" s="560">
        <v>55487</v>
      </c>
      <c r="D317" s="40">
        <v>306</v>
      </c>
      <c r="E317" s="561">
        <v>68000000</v>
      </c>
      <c r="F317" s="562">
        <v>0</v>
      </c>
      <c r="G317" s="563">
        <v>0</v>
      </c>
    </row>
    <row r="318" spans="1:7" x14ac:dyDescent="0.25">
      <c r="A318" s="38">
        <f t="shared" si="4"/>
        <v>55518</v>
      </c>
      <c r="B318" s="39" t="s">
        <v>4670</v>
      </c>
      <c r="C318" s="560">
        <v>55518</v>
      </c>
      <c r="D318" s="40">
        <v>307</v>
      </c>
      <c r="E318" s="561">
        <v>68000000</v>
      </c>
      <c r="F318" s="562">
        <v>0</v>
      </c>
      <c r="G318" s="563">
        <v>1917000</v>
      </c>
    </row>
    <row r="319" spans="1:7" x14ac:dyDescent="0.25">
      <c r="A319" s="38">
        <f t="shared" si="4"/>
        <v>55549</v>
      </c>
      <c r="B319" s="39" t="s">
        <v>4671</v>
      </c>
      <c r="C319" s="560">
        <v>55549</v>
      </c>
      <c r="D319" s="40">
        <v>308</v>
      </c>
      <c r="E319" s="561">
        <v>68000000</v>
      </c>
      <c r="F319" s="562">
        <v>0</v>
      </c>
      <c r="G319" s="563">
        <v>725880</v>
      </c>
    </row>
    <row r="320" spans="1:7" x14ac:dyDescent="0.25">
      <c r="A320" s="38">
        <f t="shared" si="4"/>
        <v>55578</v>
      </c>
      <c r="B320" s="39" t="s">
        <v>4672</v>
      </c>
      <c r="C320" s="560">
        <v>55578</v>
      </c>
      <c r="D320" s="40">
        <v>309</v>
      </c>
      <c r="E320" s="561">
        <v>68000000</v>
      </c>
      <c r="F320" s="562">
        <v>0</v>
      </c>
      <c r="G320" s="563">
        <v>0</v>
      </c>
    </row>
    <row r="321" spans="1:7" x14ac:dyDescent="0.25">
      <c r="A321" s="38">
        <f t="shared" si="4"/>
        <v>55609</v>
      </c>
      <c r="B321" s="39" t="s">
        <v>4673</v>
      </c>
      <c r="C321" s="560">
        <v>55609</v>
      </c>
      <c r="D321" s="40">
        <v>310</v>
      </c>
      <c r="E321" s="561">
        <v>68000000</v>
      </c>
      <c r="F321" s="562">
        <v>0</v>
      </c>
      <c r="G321" s="563">
        <v>0</v>
      </c>
    </row>
    <row r="322" spans="1:7" x14ac:dyDescent="0.25">
      <c r="A322" s="38">
        <f t="shared" si="4"/>
        <v>55639</v>
      </c>
      <c r="B322" s="39" t="s">
        <v>4674</v>
      </c>
      <c r="C322" s="560">
        <v>55639</v>
      </c>
      <c r="D322" s="40">
        <v>311</v>
      </c>
      <c r="E322" s="561">
        <v>68000000</v>
      </c>
      <c r="F322" s="562">
        <v>0</v>
      </c>
      <c r="G322" s="563">
        <v>0</v>
      </c>
    </row>
    <row r="323" spans="1:7" x14ac:dyDescent="0.25">
      <c r="A323" s="38">
        <f t="shared" si="4"/>
        <v>55670</v>
      </c>
      <c r="B323" s="39" t="s">
        <v>4675</v>
      </c>
      <c r="C323" s="560">
        <v>55670</v>
      </c>
      <c r="D323" s="40">
        <v>312</v>
      </c>
      <c r="E323" s="561">
        <v>68000000</v>
      </c>
      <c r="F323" s="562">
        <v>0</v>
      </c>
      <c r="G323" s="563">
        <v>0</v>
      </c>
    </row>
    <row r="324" spans="1:7" x14ac:dyDescent="0.25">
      <c r="A324" s="38">
        <f t="shared" si="4"/>
        <v>55700</v>
      </c>
      <c r="B324" s="39" t="s">
        <v>4676</v>
      </c>
      <c r="C324" s="560">
        <v>55700</v>
      </c>
      <c r="D324" s="40">
        <v>313</v>
      </c>
      <c r="E324" s="561">
        <v>68000000</v>
      </c>
      <c r="F324" s="562">
        <v>0</v>
      </c>
      <c r="G324" s="563">
        <v>0</v>
      </c>
    </row>
    <row r="325" spans="1:7" x14ac:dyDescent="0.25">
      <c r="A325" s="38">
        <f t="shared" si="4"/>
        <v>55731</v>
      </c>
      <c r="B325" s="39" t="s">
        <v>4677</v>
      </c>
      <c r="C325" s="560">
        <v>55731</v>
      </c>
      <c r="D325" s="40">
        <v>314</v>
      </c>
      <c r="E325" s="561">
        <v>68000000</v>
      </c>
      <c r="F325" s="562">
        <v>0</v>
      </c>
      <c r="G325" s="563">
        <v>0</v>
      </c>
    </row>
    <row r="326" spans="1:7" x14ac:dyDescent="0.25">
      <c r="A326" s="38">
        <f t="shared" si="4"/>
        <v>55762</v>
      </c>
      <c r="B326" s="39" t="s">
        <v>4678</v>
      </c>
      <c r="C326" s="560">
        <v>55762</v>
      </c>
      <c r="D326" s="40">
        <v>315</v>
      </c>
      <c r="E326" s="561">
        <v>68000000</v>
      </c>
      <c r="F326" s="562">
        <v>0</v>
      </c>
      <c r="G326" s="563">
        <v>0</v>
      </c>
    </row>
    <row r="327" spans="1:7" x14ac:dyDescent="0.25">
      <c r="A327" s="38">
        <f t="shared" si="4"/>
        <v>55792</v>
      </c>
      <c r="B327" s="39" t="s">
        <v>4679</v>
      </c>
      <c r="C327" s="560">
        <v>55792</v>
      </c>
      <c r="D327" s="40">
        <v>316</v>
      </c>
      <c r="E327" s="561">
        <v>68000000</v>
      </c>
      <c r="F327" s="562">
        <v>0</v>
      </c>
      <c r="G327" s="563">
        <v>0</v>
      </c>
    </row>
    <row r="328" spans="1:7" x14ac:dyDescent="0.25">
      <c r="A328" s="38">
        <f t="shared" si="4"/>
        <v>55823</v>
      </c>
      <c r="B328" s="39" t="s">
        <v>4680</v>
      </c>
      <c r="C328" s="560">
        <v>55823</v>
      </c>
      <c r="D328" s="40">
        <v>317</v>
      </c>
      <c r="E328" s="561">
        <v>68000000</v>
      </c>
      <c r="F328" s="562">
        <v>0</v>
      </c>
      <c r="G328" s="563">
        <v>0</v>
      </c>
    </row>
    <row r="329" spans="1:7" x14ac:dyDescent="0.25">
      <c r="A329" s="38">
        <f t="shared" si="4"/>
        <v>55853</v>
      </c>
      <c r="B329" s="39" t="s">
        <v>4681</v>
      </c>
      <c r="C329" s="560">
        <v>55853</v>
      </c>
      <c r="D329" s="40">
        <v>318</v>
      </c>
      <c r="E329" s="561">
        <v>68000000</v>
      </c>
      <c r="F329" s="562">
        <v>0</v>
      </c>
      <c r="G329" s="563">
        <v>0</v>
      </c>
    </row>
    <row r="330" spans="1:7" x14ac:dyDescent="0.25">
      <c r="A330" s="38">
        <f t="shared" si="4"/>
        <v>55884</v>
      </c>
      <c r="B330" s="39" t="s">
        <v>4682</v>
      </c>
      <c r="C330" s="560">
        <v>55884</v>
      </c>
      <c r="D330" s="40">
        <v>319</v>
      </c>
      <c r="E330" s="561">
        <v>68000000</v>
      </c>
      <c r="F330" s="562">
        <v>0</v>
      </c>
      <c r="G330" s="563">
        <v>1917000</v>
      </c>
    </row>
    <row r="331" spans="1:7" x14ac:dyDescent="0.25">
      <c r="A331" s="38">
        <f t="shared" si="4"/>
        <v>55915</v>
      </c>
      <c r="B331" s="39" t="s">
        <v>4683</v>
      </c>
      <c r="C331" s="560">
        <v>55915</v>
      </c>
      <c r="D331" s="40">
        <v>320</v>
      </c>
      <c r="E331" s="561">
        <v>68000000</v>
      </c>
      <c r="F331" s="562">
        <v>0</v>
      </c>
      <c r="G331" s="563">
        <v>725880</v>
      </c>
    </row>
    <row r="332" spans="1:7" x14ac:dyDescent="0.25">
      <c r="A332" s="38">
        <f t="shared" si="4"/>
        <v>55943</v>
      </c>
      <c r="B332" s="39" t="s">
        <v>4684</v>
      </c>
      <c r="C332" s="560">
        <v>55943</v>
      </c>
      <c r="D332" s="40">
        <v>321</v>
      </c>
      <c r="E332" s="561">
        <v>68000000</v>
      </c>
      <c r="F332" s="562">
        <v>0</v>
      </c>
      <c r="G332" s="563">
        <v>0</v>
      </c>
    </row>
    <row r="333" spans="1:7" x14ac:dyDescent="0.25">
      <c r="A333" s="38">
        <f t="shared" ref="A333:A396" si="5">EOMONTH(A332,1)</f>
        <v>55974</v>
      </c>
      <c r="B333" s="39" t="s">
        <v>4685</v>
      </c>
      <c r="C333" s="560">
        <v>55974</v>
      </c>
      <c r="D333" s="40">
        <v>322</v>
      </c>
      <c r="E333" s="561">
        <v>68000000</v>
      </c>
      <c r="F333" s="562">
        <v>0</v>
      </c>
      <c r="G333" s="563">
        <v>0</v>
      </c>
    </row>
    <row r="334" spans="1:7" x14ac:dyDescent="0.25">
      <c r="A334" s="38">
        <f t="shared" si="5"/>
        <v>56004</v>
      </c>
      <c r="B334" s="39" t="s">
        <v>4686</v>
      </c>
      <c r="C334" s="560">
        <v>56004</v>
      </c>
      <c r="D334" s="40">
        <v>323</v>
      </c>
      <c r="E334" s="561">
        <v>68000000</v>
      </c>
      <c r="F334" s="562">
        <v>0</v>
      </c>
      <c r="G334" s="563">
        <v>0</v>
      </c>
    </row>
    <row r="335" spans="1:7" x14ac:dyDescent="0.25">
      <c r="A335" s="38">
        <f t="shared" si="5"/>
        <v>56035</v>
      </c>
      <c r="B335" s="39" t="s">
        <v>4687</v>
      </c>
      <c r="C335" s="560">
        <v>56035</v>
      </c>
      <c r="D335" s="40">
        <v>324</v>
      </c>
      <c r="E335" s="561">
        <v>68000000</v>
      </c>
      <c r="F335" s="562">
        <v>0</v>
      </c>
      <c r="G335" s="563">
        <v>0</v>
      </c>
    </row>
    <row r="336" spans="1:7" x14ac:dyDescent="0.25">
      <c r="A336" s="38">
        <f t="shared" si="5"/>
        <v>56065</v>
      </c>
      <c r="B336" s="39" t="s">
        <v>4688</v>
      </c>
      <c r="C336" s="560">
        <v>56065</v>
      </c>
      <c r="D336" s="40">
        <v>325</v>
      </c>
      <c r="E336" s="561">
        <v>68000000</v>
      </c>
      <c r="F336" s="562">
        <v>0</v>
      </c>
      <c r="G336" s="563">
        <v>0</v>
      </c>
    </row>
    <row r="337" spans="1:7" x14ac:dyDescent="0.25">
      <c r="A337" s="38">
        <f t="shared" si="5"/>
        <v>56096</v>
      </c>
      <c r="B337" s="39" t="s">
        <v>4689</v>
      </c>
      <c r="C337" s="560">
        <v>56096</v>
      </c>
      <c r="D337" s="40">
        <v>326</v>
      </c>
      <c r="E337" s="561">
        <v>68000000</v>
      </c>
      <c r="F337" s="562">
        <v>0</v>
      </c>
      <c r="G337" s="563">
        <v>0</v>
      </c>
    </row>
    <row r="338" spans="1:7" x14ac:dyDescent="0.25">
      <c r="A338" s="38">
        <f t="shared" si="5"/>
        <v>56127</v>
      </c>
      <c r="B338" s="39" t="s">
        <v>4690</v>
      </c>
      <c r="C338" s="560">
        <v>56127</v>
      </c>
      <c r="D338" s="40">
        <v>327</v>
      </c>
      <c r="E338" s="561">
        <v>68000000</v>
      </c>
      <c r="F338" s="562">
        <v>0</v>
      </c>
      <c r="G338" s="563">
        <v>0</v>
      </c>
    </row>
    <row r="339" spans="1:7" x14ac:dyDescent="0.25">
      <c r="A339" s="38">
        <f t="shared" si="5"/>
        <v>56157</v>
      </c>
      <c r="B339" s="39" t="s">
        <v>4691</v>
      </c>
      <c r="C339" s="560">
        <v>56157</v>
      </c>
      <c r="D339" s="40">
        <v>328</v>
      </c>
      <c r="E339" s="561">
        <v>68000000</v>
      </c>
      <c r="F339" s="562">
        <v>0</v>
      </c>
      <c r="G339" s="563">
        <v>0</v>
      </c>
    </row>
    <row r="340" spans="1:7" x14ac:dyDescent="0.25">
      <c r="A340" s="38">
        <f t="shared" si="5"/>
        <v>56188</v>
      </c>
      <c r="B340" s="39" t="s">
        <v>4692</v>
      </c>
      <c r="C340" s="560">
        <v>56188</v>
      </c>
      <c r="D340" s="40">
        <v>329</v>
      </c>
      <c r="E340" s="561">
        <v>68000000</v>
      </c>
      <c r="F340" s="562">
        <v>0</v>
      </c>
      <c r="G340" s="563">
        <v>0</v>
      </c>
    </row>
    <row r="341" spans="1:7" x14ac:dyDescent="0.25">
      <c r="A341" s="38">
        <f t="shared" si="5"/>
        <v>56218</v>
      </c>
      <c r="B341" s="39" t="s">
        <v>4693</v>
      </c>
      <c r="C341" s="560">
        <v>56218</v>
      </c>
      <c r="D341" s="40">
        <v>330</v>
      </c>
      <c r="E341" s="561">
        <v>68000000</v>
      </c>
      <c r="F341" s="562">
        <v>0</v>
      </c>
      <c r="G341" s="563">
        <v>0</v>
      </c>
    </row>
    <row r="342" spans="1:7" x14ac:dyDescent="0.25">
      <c r="A342" s="38">
        <f t="shared" si="5"/>
        <v>56249</v>
      </c>
      <c r="B342" s="39" t="s">
        <v>4694</v>
      </c>
      <c r="C342" s="560">
        <v>56249</v>
      </c>
      <c r="D342" s="40">
        <v>331</v>
      </c>
      <c r="E342" s="561">
        <v>68000000</v>
      </c>
      <c r="F342" s="562">
        <v>0</v>
      </c>
      <c r="G342" s="563">
        <v>1917000</v>
      </c>
    </row>
    <row r="343" spans="1:7" x14ac:dyDescent="0.25">
      <c r="A343" s="38">
        <f t="shared" si="5"/>
        <v>56280</v>
      </c>
      <c r="B343" s="39" t="s">
        <v>4695</v>
      </c>
      <c r="C343" s="560">
        <v>56280</v>
      </c>
      <c r="D343" s="40">
        <v>332</v>
      </c>
      <c r="E343" s="561">
        <v>68000000</v>
      </c>
      <c r="F343" s="562">
        <v>23000000</v>
      </c>
      <c r="G343" s="563">
        <v>725880</v>
      </c>
    </row>
    <row r="344" spans="1:7" x14ac:dyDescent="0.25">
      <c r="A344" s="38">
        <f t="shared" si="5"/>
        <v>56308</v>
      </c>
      <c r="B344" s="39" t="s">
        <v>4696</v>
      </c>
      <c r="C344" s="560">
        <v>56308</v>
      </c>
      <c r="D344" s="40">
        <v>333</v>
      </c>
      <c r="E344" s="561">
        <v>45000000</v>
      </c>
      <c r="F344" s="562">
        <v>0</v>
      </c>
      <c r="G344" s="563">
        <v>0</v>
      </c>
    </row>
    <row r="345" spans="1:7" x14ac:dyDescent="0.25">
      <c r="A345" s="38">
        <f t="shared" si="5"/>
        <v>56339</v>
      </c>
      <c r="B345" s="39" t="s">
        <v>4697</v>
      </c>
      <c r="C345" s="560">
        <v>56339</v>
      </c>
      <c r="D345" s="40">
        <v>334</v>
      </c>
      <c r="E345" s="561">
        <v>45000000</v>
      </c>
      <c r="F345" s="562">
        <v>0</v>
      </c>
      <c r="G345" s="563">
        <v>0</v>
      </c>
    </row>
    <row r="346" spans="1:7" x14ac:dyDescent="0.25">
      <c r="A346" s="38">
        <f t="shared" si="5"/>
        <v>56369</v>
      </c>
      <c r="B346" s="39" t="s">
        <v>4698</v>
      </c>
      <c r="C346" s="560">
        <v>56369</v>
      </c>
      <c r="D346" s="40">
        <v>335</v>
      </c>
      <c r="E346" s="561">
        <v>45000000</v>
      </c>
      <c r="F346" s="562">
        <v>0</v>
      </c>
      <c r="G346" s="563">
        <v>0</v>
      </c>
    </row>
    <row r="347" spans="1:7" x14ac:dyDescent="0.25">
      <c r="A347" s="38">
        <f t="shared" si="5"/>
        <v>56400</v>
      </c>
      <c r="B347" s="39" t="s">
        <v>4699</v>
      </c>
      <c r="C347" s="560">
        <v>56400</v>
      </c>
      <c r="D347" s="40">
        <v>336</v>
      </c>
      <c r="E347" s="561">
        <v>45000000</v>
      </c>
      <c r="F347" s="562">
        <v>0</v>
      </c>
      <c r="G347" s="563">
        <v>0</v>
      </c>
    </row>
    <row r="348" spans="1:7" x14ac:dyDescent="0.25">
      <c r="A348" s="38">
        <f t="shared" si="5"/>
        <v>56430</v>
      </c>
      <c r="B348" s="39" t="s">
        <v>4700</v>
      </c>
      <c r="C348" s="560">
        <v>56430</v>
      </c>
      <c r="D348" s="40">
        <v>337</v>
      </c>
      <c r="E348" s="561">
        <v>45000000</v>
      </c>
      <c r="F348" s="562">
        <v>0</v>
      </c>
      <c r="G348" s="563">
        <v>0</v>
      </c>
    </row>
    <row r="349" spans="1:7" x14ac:dyDescent="0.25">
      <c r="A349" s="38">
        <f t="shared" si="5"/>
        <v>56461</v>
      </c>
      <c r="B349" s="39" t="s">
        <v>4701</v>
      </c>
      <c r="C349" s="560">
        <v>56461</v>
      </c>
      <c r="D349" s="40">
        <v>338</v>
      </c>
      <c r="E349" s="561">
        <v>45000000</v>
      </c>
      <c r="F349" s="562">
        <v>0</v>
      </c>
      <c r="G349" s="563">
        <v>0</v>
      </c>
    </row>
    <row r="350" spans="1:7" x14ac:dyDescent="0.25">
      <c r="A350" s="38">
        <f t="shared" si="5"/>
        <v>56492</v>
      </c>
      <c r="B350" s="39" t="s">
        <v>4702</v>
      </c>
      <c r="C350" s="560">
        <v>56492</v>
      </c>
      <c r="D350" s="40">
        <v>339</v>
      </c>
      <c r="E350" s="561">
        <v>45000000</v>
      </c>
      <c r="F350" s="562">
        <v>0</v>
      </c>
      <c r="G350" s="563">
        <v>0</v>
      </c>
    </row>
    <row r="351" spans="1:7" x14ac:dyDescent="0.25">
      <c r="A351" s="38">
        <f t="shared" si="5"/>
        <v>56522</v>
      </c>
      <c r="B351" s="39" t="s">
        <v>4703</v>
      </c>
      <c r="C351" s="560">
        <v>56522</v>
      </c>
      <c r="D351" s="40">
        <v>340</v>
      </c>
      <c r="E351" s="561">
        <v>45000000</v>
      </c>
      <c r="F351" s="562">
        <v>0</v>
      </c>
      <c r="G351" s="563">
        <v>0</v>
      </c>
    </row>
    <row r="352" spans="1:7" x14ac:dyDescent="0.25">
      <c r="A352" s="38">
        <f t="shared" si="5"/>
        <v>56553</v>
      </c>
      <c r="B352" s="39" t="s">
        <v>4704</v>
      </c>
      <c r="C352" s="560">
        <v>56553</v>
      </c>
      <c r="D352" s="40">
        <v>341</v>
      </c>
      <c r="E352" s="561">
        <v>45000000</v>
      </c>
      <c r="F352" s="562">
        <v>0</v>
      </c>
      <c r="G352" s="563">
        <v>0</v>
      </c>
    </row>
    <row r="353" spans="1:7" x14ac:dyDescent="0.25">
      <c r="A353" s="38">
        <f t="shared" si="5"/>
        <v>56583</v>
      </c>
      <c r="B353" s="39" t="s">
        <v>4705</v>
      </c>
      <c r="C353" s="560">
        <v>56583</v>
      </c>
      <c r="D353" s="40">
        <v>342</v>
      </c>
      <c r="E353" s="561">
        <v>45000000</v>
      </c>
      <c r="F353" s="562">
        <v>0</v>
      </c>
      <c r="G353" s="563">
        <v>0</v>
      </c>
    </row>
    <row r="354" spans="1:7" x14ac:dyDescent="0.25">
      <c r="A354" s="38">
        <f t="shared" si="5"/>
        <v>56614</v>
      </c>
      <c r="B354" s="39" t="s">
        <v>4706</v>
      </c>
      <c r="C354" s="560">
        <v>56614</v>
      </c>
      <c r="D354" s="40">
        <v>343</v>
      </c>
      <c r="E354" s="561">
        <v>45000000</v>
      </c>
      <c r="F354" s="562">
        <v>0</v>
      </c>
      <c r="G354" s="563">
        <v>1917000</v>
      </c>
    </row>
    <row r="355" spans="1:7" x14ac:dyDescent="0.25">
      <c r="A355" s="38">
        <f t="shared" si="5"/>
        <v>56645</v>
      </c>
      <c r="B355" s="39" t="s">
        <v>4707</v>
      </c>
      <c r="C355" s="560">
        <v>56645</v>
      </c>
      <c r="D355" s="40">
        <v>344</v>
      </c>
      <c r="E355" s="561">
        <v>45000000</v>
      </c>
      <c r="F355" s="562">
        <v>0</v>
      </c>
      <c r="G355" s="563">
        <v>0</v>
      </c>
    </row>
    <row r="356" spans="1:7" x14ac:dyDescent="0.25">
      <c r="A356" s="38">
        <f t="shared" si="5"/>
        <v>56673</v>
      </c>
      <c r="B356" s="39" t="s">
        <v>4708</v>
      </c>
      <c r="C356" s="560">
        <v>56673</v>
      </c>
      <c r="D356" s="40">
        <v>345</v>
      </c>
      <c r="E356" s="561">
        <v>45000000</v>
      </c>
      <c r="F356" s="562">
        <v>0</v>
      </c>
      <c r="G356" s="563">
        <v>0</v>
      </c>
    </row>
    <row r="357" spans="1:7" x14ac:dyDescent="0.25">
      <c r="A357" s="38">
        <f t="shared" si="5"/>
        <v>56704</v>
      </c>
      <c r="B357" s="39" t="s">
        <v>4709</v>
      </c>
      <c r="C357" s="560">
        <v>56704</v>
      </c>
      <c r="D357" s="40">
        <v>346</v>
      </c>
      <c r="E357" s="561">
        <v>45000000</v>
      </c>
      <c r="F357" s="562">
        <v>0</v>
      </c>
      <c r="G357" s="563">
        <v>0</v>
      </c>
    </row>
    <row r="358" spans="1:7" x14ac:dyDescent="0.25">
      <c r="A358" s="38">
        <f t="shared" si="5"/>
        <v>56734</v>
      </c>
      <c r="B358" s="39" t="s">
        <v>4710</v>
      </c>
      <c r="C358" s="560">
        <v>56734</v>
      </c>
      <c r="D358" s="40">
        <v>347</v>
      </c>
      <c r="E358" s="561">
        <v>45000000</v>
      </c>
      <c r="F358" s="562">
        <v>0</v>
      </c>
      <c r="G358" s="563">
        <v>0</v>
      </c>
    </row>
    <row r="359" spans="1:7" x14ac:dyDescent="0.25">
      <c r="A359" s="38">
        <f t="shared" si="5"/>
        <v>56765</v>
      </c>
      <c r="B359" s="39" t="s">
        <v>4711</v>
      </c>
      <c r="C359" s="560">
        <v>56765</v>
      </c>
      <c r="D359" s="40">
        <v>348</v>
      </c>
      <c r="E359" s="561">
        <v>45000000</v>
      </c>
      <c r="F359" s="562">
        <v>0</v>
      </c>
      <c r="G359" s="563">
        <v>0</v>
      </c>
    </row>
    <row r="360" spans="1:7" x14ac:dyDescent="0.25">
      <c r="A360" s="38">
        <f t="shared" si="5"/>
        <v>56795</v>
      </c>
      <c r="B360" s="39" t="s">
        <v>4712</v>
      </c>
      <c r="C360" s="560">
        <v>56795</v>
      </c>
      <c r="D360" s="40">
        <v>349</v>
      </c>
      <c r="E360" s="561">
        <v>45000000</v>
      </c>
      <c r="F360" s="562">
        <v>0</v>
      </c>
      <c r="G360" s="563">
        <v>0</v>
      </c>
    </row>
    <row r="361" spans="1:7" x14ac:dyDescent="0.25">
      <c r="A361" s="38">
        <f t="shared" si="5"/>
        <v>56826</v>
      </c>
      <c r="B361" s="39" t="s">
        <v>4713</v>
      </c>
      <c r="C361" s="560">
        <v>56826</v>
      </c>
      <c r="D361" s="40">
        <v>350</v>
      </c>
      <c r="E361" s="561">
        <v>45000000</v>
      </c>
      <c r="F361" s="562">
        <v>0</v>
      </c>
      <c r="G361" s="563">
        <v>0</v>
      </c>
    </row>
    <row r="362" spans="1:7" x14ac:dyDescent="0.25">
      <c r="A362" s="38">
        <f t="shared" si="5"/>
        <v>56857</v>
      </c>
      <c r="B362" s="39" t="s">
        <v>4714</v>
      </c>
      <c r="C362" s="560">
        <v>56857</v>
      </c>
      <c r="D362" s="40">
        <v>351</v>
      </c>
      <c r="E362" s="561">
        <v>45000000</v>
      </c>
      <c r="F362" s="562">
        <v>0</v>
      </c>
      <c r="G362" s="563">
        <v>0</v>
      </c>
    </row>
    <row r="363" spans="1:7" x14ac:dyDescent="0.25">
      <c r="A363" s="38">
        <f t="shared" si="5"/>
        <v>56887</v>
      </c>
      <c r="B363" s="39" t="s">
        <v>4715</v>
      </c>
      <c r="C363" s="560">
        <v>56887</v>
      </c>
      <c r="D363" s="40">
        <v>352</v>
      </c>
      <c r="E363" s="561">
        <v>45000000</v>
      </c>
      <c r="F363" s="562">
        <v>0</v>
      </c>
      <c r="G363" s="563">
        <v>0</v>
      </c>
    </row>
    <row r="364" spans="1:7" x14ac:dyDescent="0.25">
      <c r="A364" s="38">
        <f t="shared" si="5"/>
        <v>56918</v>
      </c>
      <c r="B364" s="39" t="s">
        <v>4716</v>
      </c>
      <c r="C364" s="560">
        <v>56918</v>
      </c>
      <c r="D364" s="40">
        <v>353</v>
      </c>
      <c r="E364" s="561">
        <v>45000000</v>
      </c>
      <c r="F364" s="562">
        <v>0</v>
      </c>
      <c r="G364" s="563">
        <v>0</v>
      </c>
    </row>
    <row r="365" spans="1:7" x14ac:dyDescent="0.25">
      <c r="A365" s="38">
        <f t="shared" si="5"/>
        <v>56948</v>
      </c>
      <c r="B365" s="39" t="s">
        <v>4717</v>
      </c>
      <c r="C365" s="560">
        <v>56948</v>
      </c>
      <c r="D365" s="40">
        <v>354</v>
      </c>
      <c r="E365" s="561">
        <v>45000000</v>
      </c>
      <c r="F365" s="562">
        <v>0</v>
      </c>
      <c r="G365" s="563">
        <v>0</v>
      </c>
    </row>
    <row r="366" spans="1:7" x14ac:dyDescent="0.25">
      <c r="A366" s="38">
        <f t="shared" si="5"/>
        <v>56979</v>
      </c>
      <c r="B366" s="39" t="s">
        <v>4718</v>
      </c>
      <c r="C366" s="560">
        <v>56979</v>
      </c>
      <c r="D366" s="40">
        <v>355</v>
      </c>
      <c r="E366" s="561">
        <v>45000000</v>
      </c>
      <c r="F366" s="562">
        <v>45000000</v>
      </c>
      <c r="G366" s="563">
        <v>1917000</v>
      </c>
    </row>
    <row r="367" spans="1:7" x14ac:dyDescent="0.25">
      <c r="A367" s="38">
        <f t="shared" si="5"/>
        <v>57010</v>
      </c>
      <c r="B367" s="39" t="s">
        <v>4719</v>
      </c>
      <c r="C367" s="40" t="str">
        <f t="shared" ref="C367:C398" si="6">YEAR(A367) &amp; TEXT(MONTH(A367), "00")</f>
        <v>205601</v>
      </c>
      <c r="D367" s="40">
        <v>356</v>
      </c>
      <c r="E367" s="564"/>
      <c r="F367" s="565"/>
      <c r="G367" s="566"/>
    </row>
    <row r="368" spans="1:7" x14ac:dyDescent="0.25">
      <c r="A368" s="38">
        <f t="shared" si="5"/>
        <v>57039</v>
      </c>
      <c r="B368" s="39" t="s">
        <v>4720</v>
      </c>
      <c r="C368" s="40" t="str">
        <f t="shared" si="6"/>
        <v>205602</v>
      </c>
      <c r="D368" s="40">
        <v>357</v>
      </c>
      <c r="E368" s="564"/>
      <c r="F368" s="565"/>
      <c r="G368" s="566"/>
    </row>
    <row r="369" spans="1:7" x14ac:dyDescent="0.25">
      <c r="A369" s="38">
        <f t="shared" si="5"/>
        <v>57070</v>
      </c>
      <c r="B369" s="39" t="s">
        <v>4721</v>
      </c>
      <c r="C369" s="40" t="str">
        <f t="shared" si="6"/>
        <v>205603</v>
      </c>
      <c r="D369" s="40">
        <v>358</v>
      </c>
      <c r="E369" s="564"/>
      <c r="F369" s="565"/>
      <c r="G369" s="566"/>
    </row>
    <row r="370" spans="1:7" x14ac:dyDescent="0.25">
      <c r="A370" s="38">
        <f t="shared" si="5"/>
        <v>57100</v>
      </c>
      <c r="B370" s="39" t="s">
        <v>4722</v>
      </c>
      <c r="C370" s="40" t="str">
        <f t="shared" si="6"/>
        <v>205604</v>
      </c>
      <c r="D370" s="40">
        <v>359</v>
      </c>
      <c r="E370" s="564"/>
      <c r="F370" s="565"/>
      <c r="G370" s="566"/>
    </row>
    <row r="371" spans="1:7" x14ac:dyDescent="0.25">
      <c r="A371" s="38">
        <f t="shared" si="5"/>
        <v>57131</v>
      </c>
      <c r="B371" s="39" t="s">
        <v>4723</v>
      </c>
      <c r="C371" s="40" t="str">
        <f t="shared" si="6"/>
        <v>205605</v>
      </c>
      <c r="D371" s="40">
        <v>360</v>
      </c>
      <c r="E371" s="564"/>
      <c r="F371" s="565"/>
      <c r="G371" s="566"/>
    </row>
    <row r="372" spans="1:7" x14ac:dyDescent="0.25">
      <c r="A372" s="38">
        <f t="shared" si="5"/>
        <v>57161</v>
      </c>
      <c r="B372" s="39" t="s">
        <v>4724</v>
      </c>
      <c r="C372" s="40" t="str">
        <f t="shared" si="6"/>
        <v>205606</v>
      </c>
      <c r="D372" s="40">
        <v>361</v>
      </c>
      <c r="E372" s="564"/>
      <c r="F372" s="565"/>
      <c r="G372" s="566"/>
    </row>
    <row r="373" spans="1:7" x14ac:dyDescent="0.25">
      <c r="A373" s="38">
        <f t="shared" si="5"/>
        <v>57192</v>
      </c>
      <c r="B373" s="39" t="s">
        <v>4725</v>
      </c>
      <c r="C373" s="40" t="str">
        <f t="shared" si="6"/>
        <v>205607</v>
      </c>
      <c r="D373" s="40">
        <v>362</v>
      </c>
      <c r="E373" s="564"/>
      <c r="F373" s="565"/>
      <c r="G373" s="566"/>
    </row>
    <row r="374" spans="1:7" x14ac:dyDescent="0.25">
      <c r="A374" s="38">
        <f t="shared" si="5"/>
        <v>57223</v>
      </c>
      <c r="B374" s="39" t="s">
        <v>4726</v>
      </c>
      <c r="C374" s="40" t="str">
        <f t="shared" si="6"/>
        <v>205608</v>
      </c>
      <c r="D374" s="40">
        <v>363</v>
      </c>
      <c r="E374" s="564"/>
      <c r="F374" s="565"/>
      <c r="G374" s="566"/>
    </row>
    <row r="375" spans="1:7" x14ac:dyDescent="0.25">
      <c r="A375" s="38">
        <f t="shared" si="5"/>
        <v>57253</v>
      </c>
      <c r="B375" s="39" t="s">
        <v>4727</v>
      </c>
      <c r="C375" s="40" t="str">
        <f t="shared" si="6"/>
        <v>205609</v>
      </c>
      <c r="D375" s="40">
        <v>364</v>
      </c>
      <c r="E375" s="564"/>
      <c r="F375" s="565"/>
      <c r="G375" s="566"/>
    </row>
    <row r="376" spans="1:7" x14ac:dyDescent="0.25">
      <c r="A376" s="38">
        <f t="shared" si="5"/>
        <v>57284</v>
      </c>
      <c r="B376" s="39" t="s">
        <v>4728</v>
      </c>
      <c r="C376" s="40" t="str">
        <f t="shared" si="6"/>
        <v>205610</v>
      </c>
      <c r="D376" s="40">
        <v>365</v>
      </c>
      <c r="E376" s="564"/>
      <c r="F376" s="565"/>
      <c r="G376" s="566"/>
    </row>
    <row r="377" spans="1:7" x14ac:dyDescent="0.25">
      <c r="A377" s="38">
        <f t="shared" si="5"/>
        <v>57314</v>
      </c>
      <c r="B377" s="39" t="s">
        <v>4729</v>
      </c>
      <c r="C377" s="40" t="str">
        <f t="shared" si="6"/>
        <v>205611</v>
      </c>
      <c r="D377" s="40">
        <v>366</v>
      </c>
      <c r="E377" s="564"/>
      <c r="F377" s="565"/>
      <c r="G377" s="566"/>
    </row>
    <row r="378" spans="1:7" x14ac:dyDescent="0.25">
      <c r="A378" s="38">
        <f t="shared" si="5"/>
        <v>57345</v>
      </c>
      <c r="B378" s="39" t="s">
        <v>4730</v>
      </c>
      <c r="C378" s="40" t="str">
        <f t="shared" si="6"/>
        <v>205612</v>
      </c>
      <c r="D378" s="40">
        <v>367</v>
      </c>
      <c r="E378" s="564"/>
      <c r="F378" s="565"/>
      <c r="G378" s="566"/>
    </row>
    <row r="379" spans="1:7" x14ac:dyDescent="0.25">
      <c r="A379" s="38">
        <f t="shared" si="5"/>
        <v>57376</v>
      </c>
      <c r="B379" s="39" t="s">
        <v>4731</v>
      </c>
      <c r="C379" s="40" t="str">
        <f t="shared" si="6"/>
        <v>205701</v>
      </c>
      <c r="D379" s="40">
        <v>368</v>
      </c>
      <c r="E379" s="564"/>
      <c r="F379" s="565"/>
      <c r="G379" s="566"/>
    </row>
    <row r="380" spans="1:7" x14ac:dyDescent="0.25">
      <c r="A380" s="38">
        <f t="shared" si="5"/>
        <v>57404</v>
      </c>
      <c r="B380" s="39" t="s">
        <v>4732</v>
      </c>
      <c r="C380" s="40" t="str">
        <f t="shared" si="6"/>
        <v>205702</v>
      </c>
      <c r="D380" s="40">
        <v>369</v>
      </c>
      <c r="E380" s="564"/>
      <c r="F380" s="565"/>
      <c r="G380" s="566"/>
    </row>
    <row r="381" spans="1:7" x14ac:dyDescent="0.25">
      <c r="A381" s="38">
        <f t="shared" si="5"/>
        <v>57435</v>
      </c>
      <c r="B381" s="39" t="s">
        <v>4733</v>
      </c>
      <c r="C381" s="40" t="str">
        <f t="shared" si="6"/>
        <v>205703</v>
      </c>
      <c r="D381" s="40">
        <v>370</v>
      </c>
      <c r="E381" s="564"/>
      <c r="F381" s="565"/>
      <c r="G381" s="566"/>
    </row>
    <row r="382" spans="1:7" x14ac:dyDescent="0.25">
      <c r="A382" s="38">
        <f t="shared" si="5"/>
        <v>57465</v>
      </c>
      <c r="B382" s="39" t="s">
        <v>4734</v>
      </c>
      <c r="C382" s="40" t="str">
        <f t="shared" si="6"/>
        <v>205704</v>
      </c>
      <c r="D382" s="40">
        <v>371</v>
      </c>
      <c r="E382" s="564"/>
      <c r="F382" s="565"/>
      <c r="G382" s="566"/>
    </row>
    <row r="383" spans="1:7" x14ac:dyDescent="0.25">
      <c r="A383" s="38">
        <f t="shared" si="5"/>
        <v>57496</v>
      </c>
      <c r="B383" s="39" t="s">
        <v>4735</v>
      </c>
      <c r="C383" s="40" t="str">
        <f t="shared" si="6"/>
        <v>205705</v>
      </c>
      <c r="D383" s="40">
        <v>372</v>
      </c>
      <c r="E383" s="564"/>
      <c r="F383" s="565"/>
      <c r="G383" s="566"/>
    </row>
    <row r="384" spans="1:7" x14ac:dyDescent="0.25">
      <c r="A384" s="38">
        <f t="shared" si="5"/>
        <v>57526</v>
      </c>
      <c r="B384" s="39" t="s">
        <v>4736</v>
      </c>
      <c r="C384" s="40" t="str">
        <f t="shared" si="6"/>
        <v>205706</v>
      </c>
      <c r="D384" s="40">
        <v>373</v>
      </c>
      <c r="E384" s="564"/>
      <c r="F384" s="565"/>
      <c r="G384" s="566"/>
    </row>
    <row r="385" spans="1:7" x14ac:dyDescent="0.25">
      <c r="A385" s="38">
        <f t="shared" si="5"/>
        <v>57557</v>
      </c>
      <c r="B385" s="39" t="s">
        <v>4737</v>
      </c>
      <c r="C385" s="40" t="str">
        <f t="shared" si="6"/>
        <v>205707</v>
      </c>
      <c r="D385" s="40">
        <v>374</v>
      </c>
      <c r="E385" s="564"/>
      <c r="F385" s="565"/>
      <c r="G385" s="566"/>
    </row>
    <row r="386" spans="1:7" x14ac:dyDescent="0.25">
      <c r="A386" s="38">
        <f t="shared" si="5"/>
        <v>57588</v>
      </c>
      <c r="B386" s="39" t="s">
        <v>4738</v>
      </c>
      <c r="C386" s="40" t="str">
        <f t="shared" si="6"/>
        <v>205708</v>
      </c>
      <c r="D386" s="40">
        <v>375</v>
      </c>
      <c r="E386" s="564"/>
      <c r="F386" s="565"/>
      <c r="G386" s="566"/>
    </row>
    <row r="387" spans="1:7" x14ac:dyDescent="0.25">
      <c r="A387" s="38">
        <f t="shared" si="5"/>
        <v>57618</v>
      </c>
      <c r="B387" s="39" t="s">
        <v>4739</v>
      </c>
      <c r="C387" s="40" t="str">
        <f t="shared" si="6"/>
        <v>205709</v>
      </c>
      <c r="D387" s="40">
        <v>376</v>
      </c>
      <c r="E387" s="564"/>
      <c r="F387" s="565"/>
      <c r="G387" s="566"/>
    </row>
    <row r="388" spans="1:7" x14ac:dyDescent="0.25">
      <c r="A388" s="38">
        <f t="shared" si="5"/>
        <v>57649</v>
      </c>
      <c r="B388" s="39" t="s">
        <v>4740</v>
      </c>
      <c r="C388" s="40" t="str">
        <f t="shared" si="6"/>
        <v>205710</v>
      </c>
      <c r="D388" s="40">
        <v>377</v>
      </c>
      <c r="E388" s="564"/>
      <c r="F388" s="565"/>
      <c r="G388" s="566"/>
    </row>
    <row r="389" spans="1:7" x14ac:dyDescent="0.25">
      <c r="A389" s="38">
        <f t="shared" si="5"/>
        <v>57679</v>
      </c>
      <c r="B389" s="39" t="s">
        <v>4741</v>
      </c>
      <c r="C389" s="40" t="str">
        <f t="shared" si="6"/>
        <v>205711</v>
      </c>
      <c r="D389" s="40">
        <v>378</v>
      </c>
      <c r="E389" s="564"/>
      <c r="F389" s="565"/>
      <c r="G389" s="566"/>
    </row>
    <row r="390" spans="1:7" x14ac:dyDescent="0.25">
      <c r="A390" s="38">
        <f t="shared" si="5"/>
        <v>57710</v>
      </c>
      <c r="B390" s="39" t="s">
        <v>4742</v>
      </c>
      <c r="C390" s="40" t="str">
        <f t="shared" si="6"/>
        <v>205712</v>
      </c>
      <c r="D390" s="40">
        <v>379</v>
      </c>
      <c r="E390" s="564"/>
      <c r="F390" s="565"/>
      <c r="G390" s="566"/>
    </row>
    <row r="391" spans="1:7" x14ac:dyDescent="0.25">
      <c r="A391" s="38">
        <f t="shared" si="5"/>
        <v>57741</v>
      </c>
      <c r="B391" s="39" t="s">
        <v>4743</v>
      </c>
      <c r="C391" s="40" t="str">
        <f t="shared" si="6"/>
        <v>205801</v>
      </c>
      <c r="D391" s="40">
        <v>380</v>
      </c>
      <c r="E391" s="564"/>
      <c r="F391" s="565"/>
      <c r="G391" s="566"/>
    </row>
    <row r="392" spans="1:7" x14ac:dyDescent="0.25">
      <c r="A392" s="38">
        <f t="shared" si="5"/>
        <v>57769</v>
      </c>
      <c r="B392" s="39" t="s">
        <v>4744</v>
      </c>
      <c r="C392" s="40" t="str">
        <f t="shared" si="6"/>
        <v>205802</v>
      </c>
      <c r="D392" s="40">
        <v>381</v>
      </c>
      <c r="E392" s="564"/>
      <c r="F392" s="565"/>
      <c r="G392" s="566"/>
    </row>
    <row r="393" spans="1:7" x14ac:dyDescent="0.25">
      <c r="A393" s="38">
        <f t="shared" si="5"/>
        <v>57800</v>
      </c>
      <c r="B393" s="39" t="s">
        <v>4745</v>
      </c>
      <c r="C393" s="40" t="str">
        <f t="shared" si="6"/>
        <v>205803</v>
      </c>
      <c r="D393" s="40">
        <v>382</v>
      </c>
      <c r="E393" s="564"/>
      <c r="F393" s="565"/>
      <c r="G393" s="566"/>
    </row>
    <row r="394" spans="1:7" x14ac:dyDescent="0.25">
      <c r="A394" s="38">
        <f t="shared" si="5"/>
        <v>57830</v>
      </c>
      <c r="B394" s="39" t="s">
        <v>4746</v>
      </c>
      <c r="C394" s="40" t="str">
        <f t="shared" si="6"/>
        <v>205804</v>
      </c>
      <c r="D394" s="40">
        <v>383</v>
      </c>
      <c r="E394" s="564"/>
      <c r="F394" s="565"/>
      <c r="G394" s="566"/>
    </row>
    <row r="395" spans="1:7" x14ac:dyDescent="0.25">
      <c r="A395" s="38">
        <f t="shared" si="5"/>
        <v>57861</v>
      </c>
      <c r="B395" s="39" t="s">
        <v>4747</v>
      </c>
      <c r="C395" s="40" t="str">
        <f t="shared" si="6"/>
        <v>205805</v>
      </c>
      <c r="D395" s="40">
        <v>384</v>
      </c>
      <c r="E395" s="564"/>
      <c r="F395" s="565"/>
      <c r="G395" s="566"/>
    </row>
    <row r="396" spans="1:7" x14ac:dyDescent="0.25">
      <c r="A396" s="38">
        <f t="shared" si="5"/>
        <v>57891</v>
      </c>
      <c r="B396" s="39" t="s">
        <v>4748</v>
      </c>
      <c r="C396" s="40" t="str">
        <f t="shared" si="6"/>
        <v>205806</v>
      </c>
      <c r="D396" s="40">
        <v>385</v>
      </c>
      <c r="E396" s="564"/>
      <c r="F396" s="565"/>
      <c r="G396" s="566"/>
    </row>
    <row r="397" spans="1:7" x14ac:dyDescent="0.25">
      <c r="A397" s="38">
        <f t="shared" ref="A397:A460" si="7">EOMONTH(A396,1)</f>
        <v>57922</v>
      </c>
      <c r="B397" s="39" t="s">
        <v>4749</v>
      </c>
      <c r="C397" s="40" t="str">
        <f t="shared" si="6"/>
        <v>205807</v>
      </c>
      <c r="D397" s="40">
        <v>386</v>
      </c>
      <c r="E397" s="564"/>
      <c r="F397" s="565"/>
      <c r="G397" s="566"/>
    </row>
    <row r="398" spans="1:7" x14ac:dyDescent="0.25">
      <c r="A398" s="38">
        <f t="shared" si="7"/>
        <v>57953</v>
      </c>
      <c r="B398" s="39" t="s">
        <v>4750</v>
      </c>
      <c r="C398" s="40" t="str">
        <f t="shared" si="6"/>
        <v>205808</v>
      </c>
      <c r="D398" s="40">
        <v>387</v>
      </c>
      <c r="E398" s="564"/>
      <c r="F398" s="565"/>
      <c r="G398" s="566"/>
    </row>
    <row r="399" spans="1:7" x14ac:dyDescent="0.25">
      <c r="A399" s="38">
        <f t="shared" si="7"/>
        <v>57983</v>
      </c>
      <c r="B399" s="39" t="s">
        <v>4751</v>
      </c>
      <c r="C399" s="40" t="str">
        <f t="shared" ref="C399:C430" si="8">YEAR(A399) &amp; TEXT(MONTH(A399), "00")</f>
        <v>205809</v>
      </c>
      <c r="D399" s="40">
        <v>388</v>
      </c>
      <c r="E399" s="564"/>
      <c r="F399" s="565"/>
      <c r="G399" s="566"/>
    </row>
    <row r="400" spans="1:7" x14ac:dyDescent="0.25">
      <c r="A400" s="38">
        <f t="shared" si="7"/>
        <v>58014</v>
      </c>
      <c r="B400" s="39" t="s">
        <v>4752</v>
      </c>
      <c r="C400" s="40" t="str">
        <f t="shared" si="8"/>
        <v>205810</v>
      </c>
      <c r="D400" s="40">
        <v>389</v>
      </c>
      <c r="E400" s="564"/>
      <c r="F400" s="565"/>
      <c r="G400" s="566"/>
    </row>
    <row r="401" spans="1:7" x14ac:dyDescent="0.25">
      <c r="A401" s="38">
        <f t="shared" si="7"/>
        <v>58044</v>
      </c>
      <c r="B401" s="39" t="s">
        <v>4753</v>
      </c>
      <c r="C401" s="40" t="str">
        <f t="shared" si="8"/>
        <v>205811</v>
      </c>
      <c r="D401" s="40">
        <v>390</v>
      </c>
      <c r="E401" s="564"/>
      <c r="F401" s="565"/>
      <c r="G401" s="566"/>
    </row>
    <row r="402" spans="1:7" x14ac:dyDescent="0.25">
      <c r="A402" s="38">
        <f t="shared" si="7"/>
        <v>58075</v>
      </c>
      <c r="B402" s="39" t="s">
        <v>4754</v>
      </c>
      <c r="C402" s="40" t="str">
        <f t="shared" si="8"/>
        <v>205812</v>
      </c>
      <c r="D402" s="40">
        <v>391</v>
      </c>
      <c r="E402" s="564"/>
      <c r="F402" s="565"/>
      <c r="G402" s="566"/>
    </row>
    <row r="403" spans="1:7" x14ac:dyDescent="0.25">
      <c r="A403" s="38">
        <f t="shared" si="7"/>
        <v>58106</v>
      </c>
      <c r="B403" s="39" t="s">
        <v>4755</v>
      </c>
      <c r="C403" s="40" t="str">
        <f t="shared" si="8"/>
        <v>205901</v>
      </c>
      <c r="D403" s="40">
        <v>392</v>
      </c>
      <c r="E403" s="564"/>
      <c r="F403" s="565"/>
      <c r="G403" s="566"/>
    </row>
    <row r="404" spans="1:7" x14ac:dyDescent="0.25">
      <c r="A404" s="38">
        <f t="shared" si="7"/>
        <v>58134</v>
      </c>
      <c r="B404" s="39" t="s">
        <v>4756</v>
      </c>
      <c r="C404" s="40" t="str">
        <f t="shared" si="8"/>
        <v>205902</v>
      </c>
      <c r="D404" s="40">
        <v>393</v>
      </c>
      <c r="E404" s="564"/>
      <c r="F404" s="565"/>
      <c r="G404" s="566"/>
    </row>
    <row r="405" spans="1:7" x14ac:dyDescent="0.25">
      <c r="A405" s="38">
        <f t="shared" si="7"/>
        <v>58165</v>
      </c>
      <c r="B405" s="39" t="s">
        <v>4757</v>
      </c>
      <c r="C405" s="40" t="str">
        <f t="shared" si="8"/>
        <v>205903</v>
      </c>
      <c r="D405" s="40">
        <v>394</v>
      </c>
      <c r="E405" s="564"/>
      <c r="F405" s="565"/>
      <c r="G405" s="566"/>
    </row>
    <row r="406" spans="1:7" x14ac:dyDescent="0.25">
      <c r="A406" s="38">
        <f t="shared" si="7"/>
        <v>58195</v>
      </c>
      <c r="B406" s="39" t="s">
        <v>4758</v>
      </c>
      <c r="C406" s="40" t="str">
        <f t="shared" si="8"/>
        <v>205904</v>
      </c>
      <c r="D406" s="40">
        <v>395</v>
      </c>
      <c r="E406" s="564"/>
      <c r="F406" s="565"/>
      <c r="G406" s="566"/>
    </row>
    <row r="407" spans="1:7" x14ac:dyDescent="0.25">
      <c r="A407" s="38">
        <f t="shared" si="7"/>
        <v>58226</v>
      </c>
      <c r="B407" s="39" t="s">
        <v>4759</v>
      </c>
      <c r="C407" s="40" t="str">
        <f t="shared" si="8"/>
        <v>205905</v>
      </c>
      <c r="D407" s="40">
        <v>396</v>
      </c>
      <c r="E407" s="564"/>
      <c r="F407" s="565"/>
      <c r="G407" s="566"/>
    </row>
    <row r="408" spans="1:7" x14ac:dyDescent="0.25">
      <c r="A408" s="38">
        <f t="shared" si="7"/>
        <v>58256</v>
      </c>
      <c r="B408" s="39" t="s">
        <v>4760</v>
      </c>
      <c r="C408" s="40" t="str">
        <f t="shared" si="8"/>
        <v>205906</v>
      </c>
      <c r="D408" s="40">
        <v>397</v>
      </c>
      <c r="E408" s="564"/>
      <c r="F408" s="565"/>
      <c r="G408" s="566"/>
    </row>
    <row r="409" spans="1:7" x14ac:dyDescent="0.25">
      <c r="A409" s="38">
        <f t="shared" si="7"/>
        <v>58287</v>
      </c>
      <c r="B409" s="39" t="s">
        <v>4761</v>
      </c>
      <c r="C409" s="40" t="str">
        <f t="shared" si="8"/>
        <v>205907</v>
      </c>
      <c r="D409" s="40">
        <v>398</v>
      </c>
      <c r="E409" s="564"/>
      <c r="F409" s="565"/>
      <c r="G409" s="566"/>
    </row>
    <row r="410" spans="1:7" x14ac:dyDescent="0.25">
      <c r="A410" s="38">
        <f t="shared" si="7"/>
        <v>58318</v>
      </c>
      <c r="B410" s="39" t="s">
        <v>4762</v>
      </c>
      <c r="C410" s="40" t="str">
        <f t="shared" si="8"/>
        <v>205908</v>
      </c>
      <c r="D410" s="40">
        <v>399</v>
      </c>
      <c r="E410" s="564"/>
      <c r="F410" s="565"/>
      <c r="G410" s="566"/>
    </row>
    <row r="411" spans="1:7" x14ac:dyDescent="0.25">
      <c r="A411" s="38">
        <f t="shared" si="7"/>
        <v>58348</v>
      </c>
      <c r="B411" s="39" t="s">
        <v>4763</v>
      </c>
      <c r="C411" s="40" t="str">
        <f t="shared" si="8"/>
        <v>205909</v>
      </c>
      <c r="D411" s="40">
        <v>400</v>
      </c>
      <c r="E411" s="564"/>
      <c r="F411" s="565"/>
      <c r="G411" s="566"/>
    </row>
    <row r="412" spans="1:7" x14ac:dyDescent="0.25">
      <c r="A412" s="38">
        <f t="shared" si="7"/>
        <v>58379</v>
      </c>
      <c r="B412" s="39" t="s">
        <v>4764</v>
      </c>
      <c r="C412" s="40" t="str">
        <f t="shared" si="8"/>
        <v>205910</v>
      </c>
      <c r="D412" s="40">
        <v>401</v>
      </c>
      <c r="E412" s="564"/>
      <c r="F412" s="565"/>
      <c r="G412" s="566"/>
    </row>
    <row r="413" spans="1:7" x14ac:dyDescent="0.25">
      <c r="A413" s="38">
        <f t="shared" si="7"/>
        <v>58409</v>
      </c>
      <c r="B413" s="39" t="s">
        <v>4765</v>
      </c>
      <c r="C413" s="40" t="str">
        <f t="shared" si="8"/>
        <v>205911</v>
      </c>
      <c r="D413" s="40">
        <v>402</v>
      </c>
      <c r="E413" s="564"/>
      <c r="F413" s="565"/>
      <c r="G413" s="566"/>
    </row>
    <row r="414" spans="1:7" x14ac:dyDescent="0.25">
      <c r="A414" s="38">
        <f t="shared" si="7"/>
        <v>58440</v>
      </c>
      <c r="B414" s="39" t="s">
        <v>4766</v>
      </c>
      <c r="C414" s="40" t="str">
        <f t="shared" si="8"/>
        <v>205912</v>
      </c>
      <c r="D414" s="40">
        <v>403</v>
      </c>
      <c r="E414" s="564"/>
      <c r="F414" s="565"/>
      <c r="G414" s="566"/>
    </row>
    <row r="415" spans="1:7" x14ac:dyDescent="0.25">
      <c r="A415" s="38">
        <f t="shared" si="7"/>
        <v>58471</v>
      </c>
      <c r="B415" s="39" t="s">
        <v>4767</v>
      </c>
      <c r="C415" s="40" t="str">
        <f t="shared" si="8"/>
        <v>206001</v>
      </c>
      <c r="D415" s="40">
        <v>404</v>
      </c>
      <c r="E415" s="564"/>
      <c r="F415" s="565"/>
      <c r="G415" s="566"/>
    </row>
    <row r="416" spans="1:7" x14ac:dyDescent="0.25">
      <c r="A416" s="38">
        <f t="shared" si="7"/>
        <v>58500</v>
      </c>
      <c r="B416" s="39" t="s">
        <v>4768</v>
      </c>
      <c r="C416" s="40" t="str">
        <f t="shared" si="8"/>
        <v>206002</v>
      </c>
      <c r="D416" s="40">
        <v>405</v>
      </c>
      <c r="E416" s="564"/>
      <c r="F416" s="565"/>
      <c r="G416" s="566"/>
    </row>
    <row r="417" spans="1:7" x14ac:dyDescent="0.25">
      <c r="A417" s="38">
        <f t="shared" si="7"/>
        <v>58531</v>
      </c>
      <c r="B417" s="39" t="s">
        <v>4769</v>
      </c>
      <c r="C417" s="40" t="str">
        <f t="shared" si="8"/>
        <v>206003</v>
      </c>
      <c r="D417" s="40">
        <v>406</v>
      </c>
      <c r="E417" s="564"/>
      <c r="F417" s="565"/>
      <c r="G417" s="566"/>
    </row>
    <row r="418" spans="1:7" x14ac:dyDescent="0.25">
      <c r="A418" s="38">
        <f t="shared" si="7"/>
        <v>58561</v>
      </c>
      <c r="B418" s="39" t="s">
        <v>4770</v>
      </c>
      <c r="C418" s="40" t="str">
        <f t="shared" si="8"/>
        <v>206004</v>
      </c>
      <c r="D418" s="40">
        <v>407</v>
      </c>
      <c r="E418" s="564"/>
      <c r="F418" s="565"/>
      <c r="G418" s="566"/>
    </row>
    <row r="419" spans="1:7" x14ac:dyDescent="0.25">
      <c r="A419" s="38">
        <f t="shared" si="7"/>
        <v>58592</v>
      </c>
      <c r="B419" s="39" t="s">
        <v>4771</v>
      </c>
      <c r="C419" s="40" t="str">
        <f t="shared" si="8"/>
        <v>206005</v>
      </c>
      <c r="D419" s="40">
        <v>408</v>
      </c>
      <c r="E419" s="564"/>
      <c r="F419" s="565"/>
      <c r="G419" s="566"/>
    </row>
    <row r="420" spans="1:7" x14ac:dyDescent="0.25">
      <c r="A420" s="38">
        <f t="shared" si="7"/>
        <v>58622</v>
      </c>
      <c r="B420" s="39" t="s">
        <v>4772</v>
      </c>
      <c r="C420" s="40" t="str">
        <f t="shared" si="8"/>
        <v>206006</v>
      </c>
      <c r="D420" s="40">
        <v>409</v>
      </c>
      <c r="E420" s="564"/>
      <c r="F420" s="565"/>
      <c r="G420" s="566"/>
    </row>
    <row r="421" spans="1:7" x14ac:dyDescent="0.25">
      <c r="A421" s="38">
        <f t="shared" si="7"/>
        <v>58653</v>
      </c>
      <c r="B421" s="39" t="s">
        <v>4773</v>
      </c>
      <c r="C421" s="40" t="str">
        <f t="shared" si="8"/>
        <v>206007</v>
      </c>
      <c r="D421" s="40">
        <v>410</v>
      </c>
      <c r="E421" s="564"/>
      <c r="F421" s="565"/>
      <c r="G421" s="566"/>
    </row>
    <row r="422" spans="1:7" x14ac:dyDescent="0.25">
      <c r="A422" s="38">
        <f t="shared" si="7"/>
        <v>58684</v>
      </c>
      <c r="B422" s="39" t="s">
        <v>4774</v>
      </c>
      <c r="C422" s="40" t="str">
        <f t="shared" si="8"/>
        <v>206008</v>
      </c>
      <c r="D422" s="40">
        <v>411</v>
      </c>
      <c r="E422" s="564"/>
      <c r="F422" s="565"/>
      <c r="G422" s="566"/>
    </row>
    <row r="423" spans="1:7" x14ac:dyDescent="0.25">
      <c r="A423" s="38">
        <f t="shared" si="7"/>
        <v>58714</v>
      </c>
      <c r="B423" s="39" t="s">
        <v>4775</v>
      </c>
      <c r="C423" s="40" t="str">
        <f t="shared" si="8"/>
        <v>206009</v>
      </c>
      <c r="D423" s="40">
        <v>412</v>
      </c>
      <c r="E423" s="564"/>
      <c r="F423" s="565"/>
      <c r="G423" s="566"/>
    </row>
    <row r="424" spans="1:7" x14ac:dyDescent="0.25">
      <c r="A424" s="38">
        <f t="shared" si="7"/>
        <v>58745</v>
      </c>
      <c r="B424" s="39" t="s">
        <v>4776</v>
      </c>
      <c r="C424" s="40" t="str">
        <f t="shared" si="8"/>
        <v>206010</v>
      </c>
      <c r="D424" s="40">
        <v>413</v>
      </c>
      <c r="E424" s="564"/>
      <c r="F424" s="565"/>
      <c r="G424" s="566"/>
    </row>
    <row r="425" spans="1:7" x14ac:dyDescent="0.25">
      <c r="A425" s="38">
        <f t="shared" si="7"/>
        <v>58775</v>
      </c>
      <c r="B425" s="39" t="s">
        <v>4777</v>
      </c>
      <c r="C425" s="40" t="str">
        <f t="shared" si="8"/>
        <v>206011</v>
      </c>
      <c r="D425" s="40">
        <v>414</v>
      </c>
      <c r="E425" s="564"/>
      <c r="F425" s="565"/>
      <c r="G425" s="566"/>
    </row>
    <row r="426" spans="1:7" x14ac:dyDescent="0.25">
      <c r="A426" s="38">
        <f t="shared" si="7"/>
        <v>58806</v>
      </c>
      <c r="B426" s="39" t="s">
        <v>4778</v>
      </c>
      <c r="C426" s="40" t="str">
        <f t="shared" si="8"/>
        <v>206012</v>
      </c>
      <c r="D426" s="40">
        <v>415</v>
      </c>
      <c r="E426" s="564"/>
      <c r="F426" s="565"/>
      <c r="G426" s="566"/>
    </row>
    <row r="427" spans="1:7" x14ac:dyDescent="0.25">
      <c r="A427" s="38">
        <f t="shared" si="7"/>
        <v>58837</v>
      </c>
      <c r="B427" s="39" t="s">
        <v>4779</v>
      </c>
      <c r="C427" s="40" t="str">
        <f t="shared" si="8"/>
        <v>206101</v>
      </c>
      <c r="D427" s="40">
        <v>416</v>
      </c>
      <c r="E427" s="564"/>
      <c r="F427" s="565"/>
      <c r="G427" s="566"/>
    </row>
    <row r="428" spans="1:7" x14ac:dyDescent="0.25">
      <c r="A428" s="38">
        <f t="shared" si="7"/>
        <v>58865</v>
      </c>
      <c r="B428" s="39" t="s">
        <v>4780</v>
      </c>
      <c r="C428" s="40" t="str">
        <f t="shared" si="8"/>
        <v>206102</v>
      </c>
      <c r="D428" s="40">
        <v>417</v>
      </c>
      <c r="E428" s="564"/>
      <c r="F428" s="565"/>
      <c r="G428" s="566"/>
    </row>
    <row r="429" spans="1:7" x14ac:dyDescent="0.25">
      <c r="A429" s="38">
        <f t="shared" si="7"/>
        <v>58896</v>
      </c>
      <c r="B429" s="39" t="s">
        <v>4781</v>
      </c>
      <c r="C429" s="40" t="str">
        <f t="shared" si="8"/>
        <v>206103</v>
      </c>
      <c r="D429" s="40">
        <v>418</v>
      </c>
      <c r="E429" s="564"/>
      <c r="F429" s="565"/>
      <c r="G429" s="566"/>
    </row>
    <row r="430" spans="1:7" x14ac:dyDescent="0.25">
      <c r="A430" s="38">
        <f t="shared" si="7"/>
        <v>58926</v>
      </c>
      <c r="B430" s="39" t="s">
        <v>4782</v>
      </c>
      <c r="C430" s="40" t="str">
        <f t="shared" si="8"/>
        <v>206104</v>
      </c>
      <c r="D430" s="40">
        <v>419</v>
      </c>
      <c r="E430" s="564"/>
      <c r="F430" s="565"/>
      <c r="G430" s="566"/>
    </row>
    <row r="431" spans="1:7" x14ac:dyDescent="0.25">
      <c r="A431" s="38">
        <f t="shared" si="7"/>
        <v>58957</v>
      </c>
      <c r="B431" s="39" t="s">
        <v>4783</v>
      </c>
      <c r="C431" s="40" t="str">
        <f t="shared" ref="C431:C462" si="9">YEAR(A431) &amp; TEXT(MONTH(A431), "00")</f>
        <v>206105</v>
      </c>
      <c r="D431" s="40">
        <v>420</v>
      </c>
      <c r="E431" s="564"/>
      <c r="F431" s="565"/>
      <c r="G431" s="566"/>
    </row>
    <row r="432" spans="1:7" x14ac:dyDescent="0.25">
      <c r="A432" s="38">
        <f t="shared" si="7"/>
        <v>58987</v>
      </c>
      <c r="B432" s="39" t="s">
        <v>4784</v>
      </c>
      <c r="C432" s="40" t="str">
        <f t="shared" si="9"/>
        <v>206106</v>
      </c>
      <c r="D432" s="40">
        <v>421</v>
      </c>
      <c r="E432" s="564"/>
      <c r="F432" s="565"/>
      <c r="G432" s="566"/>
    </row>
    <row r="433" spans="1:7" x14ac:dyDescent="0.25">
      <c r="A433" s="38">
        <f t="shared" si="7"/>
        <v>59018</v>
      </c>
      <c r="B433" s="39" t="s">
        <v>4785</v>
      </c>
      <c r="C433" s="40" t="str">
        <f t="shared" si="9"/>
        <v>206107</v>
      </c>
      <c r="D433" s="40">
        <v>422</v>
      </c>
      <c r="E433" s="564"/>
      <c r="F433" s="565"/>
      <c r="G433" s="566"/>
    </row>
    <row r="434" spans="1:7" x14ac:dyDescent="0.25">
      <c r="A434" s="38">
        <f t="shared" si="7"/>
        <v>59049</v>
      </c>
      <c r="B434" s="39" t="s">
        <v>4786</v>
      </c>
      <c r="C434" s="40" t="str">
        <f t="shared" si="9"/>
        <v>206108</v>
      </c>
      <c r="D434" s="40">
        <v>423</v>
      </c>
      <c r="E434" s="564"/>
      <c r="F434" s="565"/>
      <c r="G434" s="566"/>
    </row>
    <row r="435" spans="1:7" x14ac:dyDescent="0.25">
      <c r="A435" s="38">
        <f t="shared" si="7"/>
        <v>59079</v>
      </c>
      <c r="B435" s="39" t="s">
        <v>4787</v>
      </c>
      <c r="C435" s="40" t="str">
        <f t="shared" si="9"/>
        <v>206109</v>
      </c>
      <c r="D435" s="40">
        <v>424</v>
      </c>
      <c r="E435" s="564"/>
      <c r="F435" s="565"/>
      <c r="G435" s="566"/>
    </row>
    <row r="436" spans="1:7" x14ac:dyDescent="0.25">
      <c r="A436" s="38">
        <f t="shared" si="7"/>
        <v>59110</v>
      </c>
      <c r="B436" s="39" t="s">
        <v>4788</v>
      </c>
      <c r="C436" s="40" t="str">
        <f t="shared" si="9"/>
        <v>206110</v>
      </c>
      <c r="D436" s="40">
        <v>425</v>
      </c>
      <c r="E436" s="564"/>
      <c r="F436" s="565"/>
      <c r="G436" s="566"/>
    </row>
    <row r="437" spans="1:7" x14ac:dyDescent="0.25">
      <c r="A437" s="38">
        <f t="shared" si="7"/>
        <v>59140</v>
      </c>
      <c r="B437" s="39" t="s">
        <v>4789</v>
      </c>
      <c r="C437" s="40" t="str">
        <f t="shared" si="9"/>
        <v>206111</v>
      </c>
      <c r="D437" s="40">
        <v>426</v>
      </c>
      <c r="E437" s="564"/>
      <c r="F437" s="565"/>
      <c r="G437" s="566"/>
    </row>
    <row r="438" spans="1:7" x14ac:dyDescent="0.25">
      <c r="A438" s="38">
        <f t="shared" si="7"/>
        <v>59171</v>
      </c>
      <c r="B438" s="39" t="s">
        <v>4790</v>
      </c>
      <c r="C438" s="40" t="str">
        <f t="shared" si="9"/>
        <v>206112</v>
      </c>
      <c r="D438" s="40">
        <v>427</v>
      </c>
      <c r="E438" s="564"/>
      <c r="F438" s="565"/>
      <c r="G438" s="566"/>
    </row>
    <row r="439" spans="1:7" x14ac:dyDescent="0.25">
      <c r="A439" s="38">
        <f t="shared" si="7"/>
        <v>59202</v>
      </c>
      <c r="B439" s="39" t="s">
        <v>4791</v>
      </c>
      <c r="C439" s="40" t="str">
        <f t="shared" si="9"/>
        <v>206201</v>
      </c>
      <c r="D439" s="40">
        <v>428</v>
      </c>
      <c r="E439" s="564"/>
      <c r="F439" s="565"/>
      <c r="G439" s="566"/>
    </row>
    <row r="440" spans="1:7" x14ac:dyDescent="0.25">
      <c r="A440" s="38">
        <f t="shared" si="7"/>
        <v>59230</v>
      </c>
      <c r="B440" s="39" t="s">
        <v>4792</v>
      </c>
      <c r="C440" s="40" t="str">
        <f t="shared" si="9"/>
        <v>206202</v>
      </c>
      <c r="D440" s="40">
        <v>429</v>
      </c>
      <c r="E440" s="564"/>
      <c r="F440" s="565"/>
      <c r="G440" s="566"/>
    </row>
    <row r="441" spans="1:7" x14ac:dyDescent="0.25">
      <c r="A441" s="38">
        <f t="shared" si="7"/>
        <v>59261</v>
      </c>
      <c r="B441" s="39" t="s">
        <v>4793</v>
      </c>
      <c r="C441" s="40" t="str">
        <f t="shared" si="9"/>
        <v>206203</v>
      </c>
      <c r="D441" s="40">
        <v>430</v>
      </c>
      <c r="E441" s="564"/>
      <c r="F441" s="565"/>
      <c r="G441" s="566"/>
    </row>
    <row r="442" spans="1:7" x14ac:dyDescent="0.25">
      <c r="A442" s="38">
        <f t="shared" si="7"/>
        <v>59291</v>
      </c>
      <c r="B442" s="39" t="s">
        <v>4794</v>
      </c>
      <c r="C442" s="40" t="str">
        <f t="shared" si="9"/>
        <v>206204</v>
      </c>
      <c r="D442" s="40">
        <v>431</v>
      </c>
      <c r="E442" s="564"/>
      <c r="F442" s="565"/>
      <c r="G442" s="566"/>
    </row>
    <row r="443" spans="1:7" x14ac:dyDescent="0.25">
      <c r="A443" s="38">
        <f t="shared" si="7"/>
        <v>59322</v>
      </c>
      <c r="B443" s="39" t="s">
        <v>4795</v>
      </c>
      <c r="C443" s="40" t="str">
        <f t="shared" si="9"/>
        <v>206205</v>
      </c>
      <c r="D443" s="40">
        <v>432</v>
      </c>
      <c r="E443" s="564"/>
      <c r="F443" s="565"/>
      <c r="G443" s="566"/>
    </row>
    <row r="444" spans="1:7" x14ac:dyDescent="0.25">
      <c r="A444" s="38">
        <f t="shared" si="7"/>
        <v>59352</v>
      </c>
      <c r="B444" s="39" t="s">
        <v>4796</v>
      </c>
      <c r="C444" s="40" t="str">
        <f t="shared" si="9"/>
        <v>206206</v>
      </c>
      <c r="D444" s="40">
        <v>433</v>
      </c>
      <c r="E444" s="564"/>
      <c r="F444" s="565"/>
      <c r="G444" s="566"/>
    </row>
    <row r="445" spans="1:7" x14ac:dyDescent="0.25">
      <c r="A445" s="38">
        <f t="shared" si="7"/>
        <v>59383</v>
      </c>
      <c r="B445" s="39" t="s">
        <v>4797</v>
      </c>
      <c r="C445" s="40" t="str">
        <f t="shared" si="9"/>
        <v>206207</v>
      </c>
      <c r="D445" s="40">
        <v>434</v>
      </c>
      <c r="E445" s="564"/>
      <c r="F445" s="565"/>
      <c r="G445" s="566"/>
    </row>
    <row r="446" spans="1:7" x14ac:dyDescent="0.25">
      <c r="A446" s="38">
        <f t="shared" si="7"/>
        <v>59414</v>
      </c>
      <c r="B446" s="39" t="s">
        <v>4798</v>
      </c>
      <c r="C446" s="40" t="str">
        <f t="shared" si="9"/>
        <v>206208</v>
      </c>
      <c r="D446" s="40">
        <v>435</v>
      </c>
      <c r="E446" s="564"/>
      <c r="F446" s="565"/>
      <c r="G446" s="566"/>
    </row>
    <row r="447" spans="1:7" x14ac:dyDescent="0.25">
      <c r="A447" s="38">
        <f t="shared" si="7"/>
        <v>59444</v>
      </c>
      <c r="B447" s="39" t="s">
        <v>4799</v>
      </c>
      <c r="C447" s="40" t="str">
        <f t="shared" si="9"/>
        <v>206209</v>
      </c>
      <c r="D447" s="40">
        <v>436</v>
      </c>
      <c r="E447" s="564"/>
      <c r="F447" s="565"/>
      <c r="G447" s="566"/>
    </row>
    <row r="448" spans="1:7" x14ac:dyDescent="0.25">
      <c r="A448" s="38">
        <f t="shared" si="7"/>
        <v>59475</v>
      </c>
      <c r="B448" s="39" t="s">
        <v>4800</v>
      </c>
      <c r="C448" s="40" t="str">
        <f t="shared" si="9"/>
        <v>206210</v>
      </c>
      <c r="D448" s="40">
        <v>437</v>
      </c>
      <c r="E448" s="564"/>
      <c r="F448" s="565"/>
      <c r="G448" s="566"/>
    </row>
    <row r="449" spans="1:7" x14ac:dyDescent="0.25">
      <c r="A449" s="38">
        <f t="shared" si="7"/>
        <v>59505</v>
      </c>
      <c r="B449" s="39" t="s">
        <v>4801</v>
      </c>
      <c r="C449" s="40" t="str">
        <f t="shared" si="9"/>
        <v>206211</v>
      </c>
      <c r="D449" s="40">
        <v>438</v>
      </c>
      <c r="E449" s="564"/>
      <c r="F449" s="565"/>
      <c r="G449" s="566"/>
    </row>
    <row r="450" spans="1:7" x14ac:dyDescent="0.25">
      <c r="A450" s="38">
        <f t="shared" si="7"/>
        <v>59536</v>
      </c>
      <c r="B450" s="39" t="s">
        <v>4802</v>
      </c>
      <c r="C450" s="40" t="str">
        <f t="shared" si="9"/>
        <v>206212</v>
      </c>
      <c r="D450" s="40">
        <v>439</v>
      </c>
      <c r="E450" s="564"/>
      <c r="F450" s="565"/>
      <c r="G450" s="566"/>
    </row>
    <row r="451" spans="1:7" x14ac:dyDescent="0.25">
      <c r="A451" s="38">
        <f t="shared" si="7"/>
        <v>59567</v>
      </c>
      <c r="B451" s="39" t="s">
        <v>4803</v>
      </c>
      <c r="C451" s="40" t="str">
        <f t="shared" si="9"/>
        <v>206301</v>
      </c>
      <c r="D451" s="40">
        <v>440</v>
      </c>
      <c r="E451" s="564"/>
      <c r="F451" s="565"/>
      <c r="G451" s="566"/>
    </row>
    <row r="452" spans="1:7" x14ac:dyDescent="0.25">
      <c r="A452" s="38">
        <f t="shared" si="7"/>
        <v>59595</v>
      </c>
      <c r="B452" s="39" t="s">
        <v>4804</v>
      </c>
      <c r="C452" s="40" t="str">
        <f t="shared" si="9"/>
        <v>206302</v>
      </c>
      <c r="D452" s="40">
        <v>441</v>
      </c>
      <c r="E452" s="564"/>
      <c r="F452" s="565"/>
      <c r="G452" s="566"/>
    </row>
    <row r="453" spans="1:7" x14ac:dyDescent="0.25">
      <c r="A453" s="38">
        <f t="shared" si="7"/>
        <v>59626</v>
      </c>
      <c r="B453" s="39" t="s">
        <v>4805</v>
      </c>
      <c r="C453" s="40" t="str">
        <f t="shared" si="9"/>
        <v>206303</v>
      </c>
      <c r="D453" s="40">
        <v>442</v>
      </c>
      <c r="E453" s="564"/>
      <c r="F453" s="565"/>
      <c r="G453" s="566"/>
    </row>
    <row r="454" spans="1:7" x14ac:dyDescent="0.25">
      <c r="A454" s="38">
        <f t="shared" si="7"/>
        <v>59656</v>
      </c>
      <c r="B454" s="39" t="s">
        <v>4806</v>
      </c>
      <c r="C454" s="40" t="str">
        <f t="shared" si="9"/>
        <v>206304</v>
      </c>
      <c r="D454" s="40">
        <v>443</v>
      </c>
      <c r="E454" s="564"/>
      <c r="F454" s="565"/>
      <c r="G454" s="566"/>
    </row>
    <row r="455" spans="1:7" x14ac:dyDescent="0.25">
      <c r="A455" s="38">
        <f t="shared" si="7"/>
        <v>59687</v>
      </c>
      <c r="B455" s="39" t="s">
        <v>4807</v>
      </c>
      <c r="C455" s="40" t="str">
        <f t="shared" si="9"/>
        <v>206305</v>
      </c>
      <c r="D455" s="40">
        <v>444</v>
      </c>
      <c r="E455" s="564"/>
      <c r="F455" s="565"/>
      <c r="G455" s="566"/>
    </row>
    <row r="456" spans="1:7" x14ac:dyDescent="0.25">
      <c r="A456" s="38">
        <f t="shared" si="7"/>
        <v>59717</v>
      </c>
      <c r="B456" s="39" t="s">
        <v>4808</v>
      </c>
      <c r="C456" s="40" t="str">
        <f t="shared" si="9"/>
        <v>206306</v>
      </c>
      <c r="D456" s="40">
        <v>445</v>
      </c>
      <c r="E456" s="564"/>
      <c r="F456" s="565"/>
      <c r="G456" s="566"/>
    </row>
    <row r="457" spans="1:7" x14ac:dyDescent="0.25">
      <c r="A457" s="38">
        <f t="shared" si="7"/>
        <v>59748</v>
      </c>
      <c r="B457" s="39" t="s">
        <v>4809</v>
      </c>
      <c r="C457" s="40" t="str">
        <f t="shared" si="9"/>
        <v>206307</v>
      </c>
      <c r="D457" s="40">
        <v>446</v>
      </c>
      <c r="E457" s="564"/>
      <c r="F457" s="565"/>
      <c r="G457" s="566"/>
    </row>
    <row r="458" spans="1:7" x14ac:dyDescent="0.25">
      <c r="A458" s="38">
        <f t="shared" si="7"/>
        <v>59779</v>
      </c>
      <c r="B458" s="39" t="s">
        <v>4810</v>
      </c>
      <c r="C458" s="40" t="str">
        <f t="shared" si="9"/>
        <v>206308</v>
      </c>
      <c r="D458" s="40">
        <v>447</v>
      </c>
      <c r="E458" s="564"/>
      <c r="F458" s="565"/>
      <c r="G458" s="566"/>
    </row>
    <row r="459" spans="1:7" x14ac:dyDescent="0.25">
      <c r="A459" s="38">
        <f t="shared" si="7"/>
        <v>59809</v>
      </c>
      <c r="B459" s="39" t="s">
        <v>4811</v>
      </c>
      <c r="C459" s="40" t="str">
        <f t="shared" si="9"/>
        <v>206309</v>
      </c>
      <c r="D459" s="40">
        <v>448</v>
      </c>
      <c r="E459" s="564"/>
      <c r="F459" s="565"/>
      <c r="G459" s="566"/>
    </row>
    <row r="460" spans="1:7" x14ac:dyDescent="0.25">
      <c r="A460" s="38">
        <f t="shared" si="7"/>
        <v>59840</v>
      </c>
      <c r="B460" s="39" t="s">
        <v>4812</v>
      </c>
      <c r="C460" s="40" t="str">
        <f t="shared" si="9"/>
        <v>206310</v>
      </c>
      <c r="D460" s="40">
        <v>449</v>
      </c>
      <c r="E460" s="564"/>
      <c r="F460" s="565"/>
      <c r="G460" s="566"/>
    </row>
    <row r="461" spans="1:7" x14ac:dyDescent="0.25">
      <c r="A461" s="38">
        <f t="shared" ref="A461:A500" si="10">EOMONTH(A460,1)</f>
        <v>59870</v>
      </c>
      <c r="B461" s="39" t="s">
        <v>4813</v>
      </c>
      <c r="C461" s="40" t="str">
        <f t="shared" si="9"/>
        <v>206311</v>
      </c>
      <c r="D461" s="40">
        <v>450</v>
      </c>
      <c r="E461" s="564"/>
      <c r="F461" s="565"/>
      <c r="G461" s="566"/>
    </row>
    <row r="462" spans="1:7" x14ac:dyDescent="0.25">
      <c r="A462" s="38">
        <f t="shared" si="10"/>
        <v>59901</v>
      </c>
      <c r="B462" s="39" t="s">
        <v>4814</v>
      </c>
      <c r="C462" s="40" t="str">
        <f t="shared" si="9"/>
        <v>206312</v>
      </c>
      <c r="D462" s="40">
        <v>451</v>
      </c>
      <c r="E462" s="564"/>
      <c r="F462" s="565"/>
      <c r="G462" s="566"/>
    </row>
    <row r="463" spans="1:7" x14ac:dyDescent="0.25">
      <c r="A463" s="38">
        <f t="shared" si="10"/>
        <v>59932</v>
      </c>
      <c r="B463" s="39" t="s">
        <v>4815</v>
      </c>
      <c r="C463" s="40" t="str">
        <f t="shared" ref="C463:C494" si="11">YEAR(A463) &amp; TEXT(MONTH(A463), "00")</f>
        <v>206401</v>
      </c>
      <c r="D463" s="40">
        <v>452</v>
      </c>
      <c r="E463" s="564"/>
      <c r="F463" s="565"/>
      <c r="G463" s="566"/>
    </row>
    <row r="464" spans="1:7" x14ac:dyDescent="0.25">
      <c r="A464" s="38">
        <f t="shared" si="10"/>
        <v>59961</v>
      </c>
      <c r="B464" s="39" t="s">
        <v>4816</v>
      </c>
      <c r="C464" s="40" t="str">
        <f t="shared" si="11"/>
        <v>206402</v>
      </c>
      <c r="D464" s="40">
        <v>453</v>
      </c>
      <c r="E464" s="564"/>
      <c r="F464" s="565"/>
      <c r="G464" s="566"/>
    </row>
    <row r="465" spans="1:7" x14ac:dyDescent="0.25">
      <c r="A465" s="38">
        <f t="shared" si="10"/>
        <v>59992</v>
      </c>
      <c r="B465" s="39" t="s">
        <v>4817</v>
      </c>
      <c r="C465" s="40" t="str">
        <f t="shared" si="11"/>
        <v>206403</v>
      </c>
      <c r="D465" s="40">
        <v>454</v>
      </c>
      <c r="E465" s="564"/>
      <c r="F465" s="565"/>
      <c r="G465" s="566"/>
    </row>
    <row r="466" spans="1:7" x14ac:dyDescent="0.25">
      <c r="A466" s="38">
        <f t="shared" si="10"/>
        <v>60022</v>
      </c>
      <c r="B466" s="39" t="s">
        <v>4818</v>
      </c>
      <c r="C466" s="40" t="str">
        <f t="shared" si="11"/>
        <v>206404</v>
      </c>
      <c r="D466" s="40">
        <v>455</v>
      </c>
      <c r="E466" s="564"/>
      <c r="F466" s="565"/>
      <c r="G466" s="566"/>
    </row>
    <row r="467" spans="1:7" x14ac:dyDescent="0.25">
      <c r="A467" s="38">
        <f t="shared" si="10"/>
        <v>60053</v>
      </c>
      <c r="B467" s="39" t="s">
        <v>4819</v>
      </c>
      <c r="C467" s="40" t="str">
        <f t="shared" si="11"/>
        <v>206405</v>
      </c>
      <c r="D467" s="40">
        <v>456</v>
      </c>
      <c r="E467" s="564"/>
      <c r="F467" s="565"/>
      <c r="G467" s="566"/>
    </row>
    <row r="468" spans="1:7" x14ac:dyDescent="0.25">
      <c r="A468" s="38">
        <f t="shared" si="10"/>
        <v>60083</v>
      </c>
      <c r="B468" s="39" t="s">
        <v>4820</v>
      </c>
      <c r="C468" s="40" t="str">
        <f t="shared" si="11"/>
        <v>206406</v>
      </c>
      <c r="D468" s="40">
        <v>457</v>
      </c>
      <c r="E468" s="564"/>
      <c r="F468" s="565"/>
      <c r="G468" s="566"/>
    </row>
    <row r="469" spans="1:7" x14ac:dyDescent="0.25">
      <c r="A469" s="38">
        <f t="shared" si="10"/>
        <v>60114</v>
      </c>
      <c r="B469" s="39" t="s">
        <v>4821</v>
      </c>
      <c r="C469" s="40" t="str">
        <f t="shared" si="11"/>
        <v>206407</v>
      </c>
      <c r="D469" s="40">
        <v>458</v>
      </c>
      <c r="E469" s="564"/>
      <c r="F469" s="565"/>
      <c r="G469" s="566"/>
    </row>
    <row r="470" spans="1:7" x14ac:dyDescent="0.25">
      <c r="A470" s="38">
        <f t="shared" si="10"/>
        <v>60145</v>
      </c>
      <c r="B470" s="39" t="s">
        <v>4822</v>
      </c>
      <c r="C470" s="40" t="str">
        <f t="shared" si="11"/>
        <v>206408</v>
      </c>
      <c r="D470" s="40">
        <v>459</v>
      </c>
      <c r="E470" s="564"/>
      <c r="F470" s="565"/>
      <c r="G470" s="566"/>
    </row>
    <row r="471" spans="1:7" x14ac:dyDescent="0.25">
      <c r="A471" s="38">
        <f t="shared" si="10"/>
        <v>60175</v>
      </c>
      <c r="B471" s="39" t="s">
        <v>4823</v>
      </c>
      <c r="C471" s="40" t="str">
        <f t="shared" si="11"/>
        <v>206409</v>
      </c>
      <c r="D471" s="40">
        <v>460</v>
      </c>
      <c r="E471" s="564"/>
      <c r="F471" s="565"/>
      <c r="G471" s="566"/>
    </row>
    <row r="472" spans="1:7" x14ac:dyDescent="0.25">
      <c r="A472" s="38">
        <f t="shared" si="10"/>
        <v>60206</v>
      </c>
      <c r="B472" s="39" t="s">
        <v>4824</v>
      </c>
      <c r="C472" s="40" t="str">
        <f t="shared" si="11"/>
        <v>206410</v>
      </c>
      <c r="D472" s="40">
        <v>461</v>
      </c>
      <c r="E472" s="564"/>
      <c r="F472" s="565"/>
      <c r="G472" s="566"/>
    </row>
    <row r="473" spans="1:7" x14ac:dyDescent="0.25">
      <c r="A473" s="38">
        <f t="shared" si="10"/>
        <v>60236</v>
      </c>
      <c r="B473" s="39" t="s">
        <v>4825</v>
      </c>
      <c r="C473" s="40" t="str">
        <f t="shared" si="11"/>
        <v>206411</v>
      </c>
      <c r="D473" s="40">
        <v>462</v>
      </c>
      <c r="E473" s="564"/>
      <c r="F473" s="565"/>
      <c r="G473" s="566"/>
    </row>
    <row r="474" spans="1:7" x14ac:dyDescent="0.25">
      <c r="A474" s="38">
        <f t="shared" si="10"/>
        <v>60267</v>
      </c>
      <c r="B474" s="39" t="s">
        <v>4826</v>
      </c>
      <c r="C474" s="40" t="str">
        <f t="shared" si="11"/>
        <v>206412</v>
      </c>
      <c r="D474" s="40">
        <v>463</v>
      </c>
      <c r="E474" s="564"/>
      <c r="F474" s="565"/>
      <c r="G474" s="566"/>
    </row>
    <row r="475" spans="1:7" x14ac:dyDescent="0.25">
      <c r="A475" s="38">
        <f t="shared" si="10"/>
        <v>60298</v>
      </c>
      <c r="B475" s="39" t="s">
        <v>4827</v>
      </c>
      <c r="C475" s="40" t="str">
        <f t="shared" si="11"/>
        <v>206501</v>
      </c>
      <c r="D475" s="40">
        <v>464</v>
      </c>
      <c r="E475" s="564"/>
      <c r="F475" s="565"/>
      <c r="G475" s="566"/>
    </row>
    <row r="476" spans="1:7" x14ac:dyDescent="0.25">
      <c r="A476" s="38">
        <f t="shared" si="10"/>
        <v>60326</v>
      </c>
      <c r="B476" s="39" t="s">
        <v>4828</v>
      </c>
      <c r="C476" s="40" t="str">
        <f t="shared" si="11"/>
        <v>206502</v>
      </c>
      <c r="D476" s="40">
        <v>465</v>
      </c>
      <c r="E476" s="564"/>
      <c r="F476" s="565"/>
      <c r="G476" s="566"/>
    </row>
    <row r="477" spans="1:7" x14ac:dyDescent="0.25">
      <c r="A477" s="38">
        <f t="shared" si="10"/>
        <v>60357</v>
      </c>
      <c r="B477" s="39" t="s">
        <v>4829</v>
      </c>
      <c r="C477" s="40" t="str">
        <f t="shared" si="11"/>
        <v>206503</v>
      </c>
      <c r="D477" s="40">
        <v>466</v>
      </c>
      <c r="E477" s="564"/>
      <c r="F477" s="565"/>
      <c r="G477" s="566"/>
    </row>
    <row r="478" spans="1:7" x14ac:dyDescent="0.25">
      <c r="A478" s="38">
        <f t="shared" si="10"/>
        <v>60387</v>
      </c>
      <c r="B478" s="39" t="s">
        <v>4830</v>
      </c>
      <c r="C478" s="40" t="str">
        <f t="shared" si="11"/>
        <v>206504</v>
      </c>
      <c r="D478" s="40">
        <v>467</v>
      </c>
      <c r="E478" s="564"/>
      <c r="F478" s="565"/>
      <c r="G478" s="566"/>
    </row>
    <row r="479" spans="1:7" x14ac:dyDescent="0.25">
      <c r="A479" s="38">
        <f t="shared" si="10"/>
        <v>60418</v>
      </c>
      <c r="B479" s="39" t="s">
        <v>4831</v>
      </c>
      <c r="C479" s="40" t="str">
        <f t="shared" si="11"/>
        <v>206505</v>
      </c>
      <c r="D479" s="40">
        <v>468</v>
      </c>
      <c r="E479" s="564"/>
      <c r="F479" s="565"/>
      <c r="G479" s="566"/>
    </row>
    <row r="480" spans="1:7" x14ac:dyDescent="0.25">
      <c r="A480" s="38">
        <f t="shared" si="10"/>
        <v>60448</v>
      </c>
      <c r="B480" s="39" t="s">
        <v>4832</v>
      </c>
      <c r="C480" s="40" t="str">
        <f t="shared" si="11"/>
        <v>206506</v>
      </c>
      <c r="D480" s="40">
        <v>469</v>
      </c>
      <c r="E480" s="564"/>
      <c r="F480" s="565"/>
      <c r="G480" s="566"/>
    </row>
    <row r="481" spans="1:7" x14ac:dyDescent="0.25">
      <c r="A481" s="38">
        <f t="shared" si="10"/>
        <v>60479</v>
      </c>
      <c r="B481" s="39" t="s">
        <v>4833</v>
      </c>
      <c r="C481" s="40" t="str">
        <f t="shared" si="11"/>
        <v>206507</v>
      </c>
      <c r="D481" s="40">
        <v>470</v>
      </c>
      <c r="E481" s="564"/>
      <c r="F481" s="565"/>
      <c r="G481" s="566"/>
    </row>
    <row r="482" spans="1:7" x14ac:dyDescent="0.25">
      <c r="A482" s="38">
        <f t="shared" si="10"/>
        <v>60510</v>
      </c>
      <c r="B482" s="39" t="s">
        <v>4834</v>
      </c>
      <c r="C482" s="40" t="str">
        <f t="shared" si="11"/>
        <v>206508</v>
      </c>
      <c r="D482" s="40">
        <v>471</v>
      </c>
      <c r="E482" s="564"/>
      <c r="F482" s="565"/>
      <c r="G482" s="566"/>
    </row>
    <row r="483" spans="1:7" x14ac:dyDescent="0.25">
      <c r="A483" s="38">
        <f t="shared" si="10"/>
        <v>60540</v>
      </c>
      <c r="B483" s="39" t="s">
        <v>4835</v>
      </c>
      <c r="C483" s="40" t="str">
        <f t="shared" si="11"/>
        <v>206509</v>
      </c>
      <c r="D483" s="40">
        <v>472</v>
      </c>
      <c r="E483" s="564"/>
      <c r="F483" s="565"/>
      <c r="G483" s="566"/>
    </row>
    <row r="484" spans="1:7" x14ac:dyDescent="0.25">
      <c r="A484" s="38">
        <f t="shared" si="10"/>
        <v>60571</v>
      </c>
      <c r="B484" s="39" t="s">
        <v>4836</v>
      </c>
      <c r="C484" s="40" t="str">
        <f t="shared" si="11"/>
        <v>206510</v>
      </c>
      <c r="D484" s="40">
        <v>473</v>
      </c>
      <c r="E484" s="564"/>
      <c r="F484" s="565"/>
      <c r="G484" s="566"/>
    </row>
    <row r="485" spans="1:7" x14ac:dyDescent="0.25">
      <c r="A485" s="38">
        <f t="shared" si="10"/>
        <v>60601</v>
      </c>
      <c r="B485" s="39" t="s">
        <v>4837</v>
      </c>
      <c r="C485" s="40" t="str">
        <f t="shared" si="11"/>
        <v>206511</v>
      </c>
      <c r="D485" s="40">
        <v>474</v>
      </c>
      <c r="E485" s="564"/>
      <c r="F485" s="565"/>
      <c r="G485" s="566"/>
    </row>
    <row r="486" spans="1:7" x14ac:dyDescent="0.25">
      <c r="A486" s="38">
        <f t="shared" si="10"/>
        <v>60632</v>
      </c>
      <c r="B486" s="39" t="s">
        <v>4838</v>
      </c>
      <c r="C486" s="40" t="str">
        <f t="shared" si="11"/>
        <v>206512</v>
      </c>
      <c r="D486" s="40">
        <v>475</v>
      </c>
      <c r="E486" s="564"/>
      <c r="F486" s="565"/>
      <c r="G486" s="566"/>
    </row>
    <row r="487" spans="1:7" x14ac:dyDescent="0.25">
      <c r="A487" s="38">
        <f t="shared" si="10"/>
        <v>60663</v>
      </c>
      <c r="B487" s="39" t="s">
        <v>4839</v>
      </c>
      <c r="C487" s="40" t="str">
        <f t="shared" si="11"/>
        <v>206601</v>
      </c>
      <c r="D487" s="40">
        <v>476</v>
      </c>
      <c r="E487" s="564"/>
      <c r="F487" s="565"/>
      <c r="G487" s="566"/>
    </row>
    <row r="488" spans="1:7" x14ac:dyDescent="0.25">
      <c r="A488" s="38">
        <f t="shared" si="10"/>
        <v>60691</v>
      </c>
      <c r="B488" s="39" t="s">
        <v>4840</v>
      </c>
      <c r="C488" s="40" t="str">
        <f t="shared" si="11"/>
        <v>206602</v>
      </c>
      <c r="D488" s="40">
        <v>477</v>
      </c>
      <c r="E488" s="564"/>
      <c r="F488" s="565"/>
      <c r="G488" s="566"/>
    </row>
    <row r="489" spans="1:7" x14ac:dyDescent="0.25">
      <c r="A489" s="38">
        <f t="shared" si="10"/>
        <v>60722</v>
      </c>
      <c r="B489" s="39" t="s">
        <v>4841</v>
      </c>
      <c r="C489" s="40" t="str">
        <f t="shared" si="11"/>
        <v>206603</v>
      </c>
      <c r="D489" s="40">
        <v>478</v>
      </c>
      <c r="E489" s="564"/>
      <c r="F489" s="565"/>
      <c r="G489" s="566"/>
    </row>
    <row r="490" spans="1:7" x14ac:dyDescent="0.25">
      <c r="A490" s="38">
        <f t="shared" si="10"/>
        <v>60752</v>
      </c>
      <c r="B490" s="39" t="s">
        <v>4842</v>
      </c>
      <c r="C490" s="40" t="str">
        <f t="shared" si="11"/>
        <v>206604</v>
      </c>
      <c r="D490" s="40">
        <v>479</v>
      </c>
      <c r="E490" s="564"/>
      <c r="F490" s="565"/>
      <c r="G490" s="566"/>
    </row>
    <row r="491" spans="1:7" x14ac:dyDescent="0.25">
      <c r="A491" s="38">
        <f t="shared" si="10"/>
        <v>60783</v>
      </c>
      <c r="B491" s="39" t="s">
        <v>4843</v>
      </c>
      <c r="C491" s="40" t="str">
        <f t="shared" si="11"/>
        <v>206605</v>
      </c>
      <c r="D491" s="40">
        <v>480</v>
      </c>
      <c r="E491" s="564"/>
      <c r="F491" s="565"/>
      <c r="G491" s="566"/>
    </row>
    <row r="492" spans="1:7" x14ac:dyDescent="0.25">
      <c r="A492" s="38">
        <f t="shared" si="10"/>
        <v>60813</v>
      </c>
      <c r="B492" s="39" t="s">
        <v>4844</v>
      </c>
      <c r="C492" s="40" t="str">
        <f t="shared" si="11"/>
        <v>206606</v>
      </c>
      <c r="D492" s="40">
        <v>481</v>
      </c>
      <c r="E492" s="564"/>
      <c r="F492" s="565"/>
      <c r="G492" s="566"/>
    </row>
    <row r="493" spans="1:7" x14ac:dyDescent="0.25">
      <c r="A493" s="38">
        <f t="shared" si="10"/>
        <v>60844</v>
      </c>
      <c r="B493" s="39" t="s">
        <v>4845</v>
      </c>
      <c r="C493" s="40" t="str">
        <f t="shared" si="11"/>
        <v>206607</v>
      </c>
      <c r="D493" s="40">
        <v>482</v>
      </c>
      <c r="E493" s="564"/>
      <c r="F493" s="565"/>
      <c r="G493" s="566"/>
    </row>
    <row r="494" spans="1:7" x14ac:dyDescent="0.25">
      <c r="A494" s="38">
        <f t="shared" si="10"/>
        <v>60875</v>
      </c>
      <c r="B494" s="39" t="s">
        <v>4846</v>
      </c>
      <c r="C494" s="40" t="str">
        <f t="shared" si="11"/>
        <v>206608</v>
      </c>
      <c r="D494" s="40">
        <v>483</v>
      </c>
      <c r="E494" s="564"/>
      <c r="F494" s="565"/>
      <c r="G494" s="566"/>
    </row>
    <row r="495" spans="1:7" x14ac:dyDescent="0.25">
      <c r="A495" s="38">
        <f t="shared" si="10"/>
        <v>60905</v>
      </c>
      <c r="B495" s="39" t="s">
        <v>4847</v>
      </c>
      <c r="C495" s="40" t="str">
        <f t="shared" ref="C495:C500" si="12">YEAR(A495) &amp; TEXT(MONTH(A495), "00")</f>
        <v>206609</v>
      </c>
      <c r="D495" s="40">
        <v>484</v>
      </c>
      <c r="E495" s="564"/>
      <c r="F495" s="565"/>
      <c r="G495" s="566"/>
    </row>
    <row r="496" spans="1:7" x14ac:dyDescent="0.25">
      <c r="A496" s="38">
        <f t="shared" si="10"/>
        <v>60936</v>
      </c>
      <c r="B496" s="39" t="s">
        <v>4848</v>
      </c>
      <c r="C496" s="40" t="str">
        <f t="shared" si="12"/>
        <v>206610</v>
      </c>
      <c r="D496" s="40">
        <v>485</v>
      </c>
      <c r="E496" s="564"/>
      <c r="F496" s="565"/>
      <c r="G496" s="566"/>
    </row>
    <row r="497" spans="1:7" x14ac:dyDescent="0.25">
      <c r="A497" s="38">
        <f t="shared" si="10"/>
        <v>60966</v>
      </c>
      <c r="B497" s="39" t="s">
        <v>4849</v>
      </c>
      <c r="C497" s="40" t="str">
        <f t="shared" si="12"/>
        <v>206611</v>
      </c>
      <c r="D497" s="40">
        <v>486</v>
      </c>
      <c r="E497" s="564"/>
      <c r="F497" s="565"/>
      <c r="G497" s="566"/>
    </row>
    <row r="498" spans="1:7" x14ac:dyDescent="0.25">
      <c r="A498" s="38">
        <f t="shared" si="10"/>
        <v>60997</v>
      </c>
      <c r="B498" s="39" t="s">
        <v>4850</v>
      </c>
      <c r="C498" s="40" t="str">
        <f t="shared" si="12"/>
        <v>206612</v>
      </c>
      <c r="D498" s="40">
        <v>487</v>
      </c>
      <c r="E498" s="564"/>
      <c r="F498" s="565"/>
      <c r="G498" s="566"/>
    </row>
    <row r="499" spans="1:7" x14ac:dyDescent="0.25">
      <c r="A499" s="38">
        <f t="shared" si="10"/>
        <v>61028</v>
      </c>
      <c r="B499" s="39" t="s">
        <v>4851</v>
      </c>
      <c r="C499" s="40" t="str">
        <f t="shared" si="12"/>
        <v>206701</v>
      </c>
      <c r="D499" s="40">
        <v>488</v>
      </c>
      <c r="E499" s="564"/>
      <c r="F499" s="565"/>
      <c r="G499" s="566"/>
    </row>
    <row r="500" spans="1:7" x14ac:dyDescent="0.25">
      <c r="A500" s="38">
        <f t="shared" si="10"/>
        <v>61056</v>
      </c>
      <c r="B500" s="39" t="s">
        <v>4852</v>
      </c>
      <c r="C500" s="40" t="str">
        <f t="shared" si="12"/>
        <v>206702</v>
      </c>
      <c r="D500" s="40">
        <v>489</v>
      </c>
      <c r="E500" s="564"/>
      <c r="F500" s="565"/>
      <c r="G500" s="566"/>
    </row>
  </sheetData>
  <mergeCells count="1">
    <mergeCell ref="E2:G8"/>
  </mergeCells>
  <conditionalFormatting sqref="A12:G500">
    <cfRule type="expression" dxfId="2" priority="1" stopIfTrue="1">
      <formula>$A12&lt;$D$1</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9258-38A0-4B60-BE4B-613583EE0663}">
  <sheetPr>
    <tabColor theme="3"/>
  </sheetPr>
  <dimension ref="B2:H512"/>
  <sheetViews>
    <sheetView workbookViewId="0">
      <selection activeCell="G24" sqref="G24"/>
    </sheetView>
  </sheetViews>
  <sheetFormatPr baseColWidth="10" defaultColWidth="11.44140625" defaultRowHeight="13.2" x14ac:dyDescent="0.25"/>
  <cols>
    <col min="1" max="1" width="10" style="29" customWidth="1"/>
    <col min="2" max="2" width="3" style="29" customWidth="1"/>
    <col min="3" max="3" width="4.5546875" style="29" customWidth="1"/>
    <col min="4" max="4" width="28.6640625" style="29" customWidth="1"/>
    <col min="5" max="5" width="16.6640625" style="29" customWidth="1"/>
    <col min="6" max="6" width="16.33203125" style="29" customWidth="1"/>
    <col min="7" max="7" width="14.44140625" style="29" customWidth="1"/>
    <col min="8" max="8" width="5.44140625" style="29" customWidth="1"/>
    <col min="9" max="9" width="11.44140625" style="29" customWidth="1"/>
    <col min="10" max="16384" width="11.44140625" style="29"/>
  </cols>
  <sheetData>
    <row r="2" spans="2:8" ht="20.25" customHeight="1" x14ac:dyDescent="0.3">
      <c r="B2" s="657" t="s">
        <v>4853</v>
      </c>
      <c r="C2" s="658"/>
      <c r="D2" s="658"/>
      <c r="E2" s="658"/>
      <c r="F2" s="658"/>
      <c r="G2" s="658"/>
      <c r="H2" s="658"/>
    </row>
    <row r="4" spans="2:8" x14ac:dyDescent="0.25">
      <c r="D4" s="126" t="s">
        <v>4854</v>
      </c>
      <c r="E4" s="127"/>
      <c r="F4" s="127"/>
      <c r="G4" s="567">
        <v>46203</v>
      </c>
    </row>
    <row r="5" spans="2:8" x14ac:dyDescent="0.25">
      <c r="D5" s="128"/>
      <c r="G5" s="129"/>
    </row>
    <row r="6" spans="2:8" x14ac:dyDescent="0.25">
      <c r="D6" s="128"/>
      <c r="G6" s="129"/>
    </row>
    <row r="7" spans="2:8" x14ac:dyDescent="0.25">
      <c r="D7" s="128"/>
      <c r="G7" s="129"/>
    </row>
    <row r="8" spans="2:8" x14ac:dyDescent="0.25">
      <c r="D8" s="128"/>
      <c r="G8" s="129"/>
    </row>
    <row r="9" spans="2:8" x14ac:dyDescent="0.25">
      <c r="D9" s="128"/>
      <c r="G9" s="129"/>
    </row>
    <row r="10" spans="2:8" x14ac:dyDescent="0.25">
      <c r="D10" s="128"/>
      <c r="G10" s="129"/>
    </row>
    <row r="11" spans="2:8" x14ac:dyDescent="0.25">
      <c r="D11" s="128"/>
      <c r="G11" s="129"/>
    </row>
    <row r="12" spans="2:8" x14ac:dyDescent="0.25">
      <c r="D12" s="128"/>
      <c r="G12" s="129"/>
    </row>
    <row r="13" spans="2:8" ht="13.5" customHeight="1" x14ac:dyDescent="0.25">
      <c r="D13" s="128"/>
      <c r="G13" s="129"/>
    </row>
    <row r="14" spans="2:8" ht="13.5" customHeight="1" x14ac:dyDescent="0.25">
      <c r="C14" s="568" t="s">
        <v>4855</v>
      </c>
      <c r="D14" s="126" t="s">
        <v>4856</v>
      </c>
      <c r="E14" s="127"/>
      <c r="F14" s="127"/>
      <c r="G14" s="569">
        <f>G15/G16</f>
        <v>1.1319831586450877</v>
      </c>
    </row>
    <row r="15" spans="2:8" x14ac:dyDescent="0.25">
      <c r="D15" s="126" t="s">
        <v>4857</v>
      </c>
      <c r="E15" s="127"/>
      <c r="F15" s="127"/>
      <c r="G15" s="570">
        <f>G20+G26+G28-(G30+G32)</f>
        <v>72498427387.003967</v>
      </c>
    </row>
    <row r="16" spans="2:8" x14ac:dyDescent="0.25">
      <c r="D16" s="126" t="s">
        <v>4858</v>
      </c>
      <c r="E16" s="127"/>
      <c r="F16" s="127"/>
      <c r="G16" s="570">
        <f>F101</f>
        <v>64045500000</v>
      </c>
    </row>
    <row r="17" spans="3:7" ht="19.5" customHeight="1" x14ac:dyDescent="0.25">
      <c r="D17" s="571" t="s">
        <v>4859</v>
      </c>
      <c r="E17" s="572"/>
      <c r="F17" s="572"/>
      <c r="G17" s="573" t="str">
        <f>IF(G14&gt;1,"PASS","FAIL")</f>
        <v>PASS</v>
      </c>
    </row>
    <row r="18" spans="3:7" x14ac:dyDescent="0.25">
      <c r="D18" s="128"/>
      <c r="G18" s="129"/>
    </row>
    <row r="19" spans="3:7" ht="13.5" customHeight="1" x14ac:dyDescent="0.25">
      <c r="D19" s="128"/>
      <c r="G19" s="129"/>
    </row>
    <row r="20" spans="3:7" ht="13.5" customHeight="1" x14ac:dyDescent="0.25">
      <c r="C20" s="568" t="s">
        <v>4860</v>
      </c>
      <c r="D20" s="126" t="s">
        <v>4861</v>
      </c>
      <c r="E20" s="127"/>
      <c r="F20" s="127"/>
      <c r="G20" s="574">
        <f>MIN(G21,G22)</f>
        <v>75895665766.912643</v>
      </c>
    </row>
    <row r="21" spans="3:7" ht="13.5" customHeight="1" x14ac:dyDescent="0.25">
      <c r="C21" s="575" t="s">
        <v>4862</v>
      </c>
      <c r="D21" s="126" t="s">
        <v>4863</v>
      </c>
      <c r="E21" s="127"/>
      <c r="F21" s="127"/>
      <c r="G21" s="570">
        <f>VLOOKUP("ahlopa",Cube!C:E,3,FALSE)</f>
        <v>83661129937.979996</v>
      </c>
    </row>
    <row r="22" spans="3:7" ht="13.5" customHeight="1" x14ac:dyDescent="0.25">
      <c r="C22" s="575" t="s">
        <v>4864</v>
      </c>
      <c r="D22" s="126" t="s">
        <v>4865</v>
      </c>
      <c r="E22" s="127"/>
      <c r="F22" s="127"/>
      <c r="G22" s="570">
        <f>+G23*G24</f>
        <v>75895665766.912643</v>
      </c>
    </row>
    <row r="23" spans="3:7" x14ac:dyDescent="0.25">
      <c r="D23" s="126" t="s">
        <v>4866</v>
      </c>
      <c r="E23" s="127"/>
      <c r="F23" s="127"/>
      <c r="G23" s="570" cm="1">
        <f t="array" ref="G23">(SUMPRODUCT((Cube!$A$2:$A$10001="MOBILISE")*(Cube!$B$2:$B$10001="Summary")*(Cube!$C$2:$C$10001="MTKRDC")*(Cube!$E$2:$E$10001)))</f>
        <v>85276066473.039993</v>
      </c>
    </row>
    <row r="24" spans="3:7" x14ac:dyDescent="0.25">
      <c r="D24" s="126" t="s">
        <v>4867</v>
      </c>
      <c r="E24" s="127"/>
      <c r="F24" s="127"/>
      <c r="G24" s="576">
        <f>1/(1+0.123596)</f>
        <v>0.88999960840017223</v>
      </c>
    </row>
    <row r="25" spans="3:7" ht="13.5" customHeight="1" x14ac:dyDescent="0.25">
      <c r="D25" s="126"/>
      <c r="E25" s="127"/>
      <c r="F25" s="127"/>
      <c r="G25" s="130"/>
    </row>
    <row r="26" spans="3:7" ht="15" customHeight="1" x14ac:dyDescent="0.25">
      <c r="C26" s="568" t="s">
        <v>4868</v>
      </c>
      <c r="D26" s="577" t="s">
        <v>4869</v>
      </c>
      <c r="E26" s="127"/>
      <c r="F26" s="127"/>
      <c r="G26" s="570">
        <v>0</v>
      </c>
    </row>
    <row r="27" spans="3:7" ht="13.5" customHeight="1" x14ac:dyDescent="0.25">
      <c r="D27" s="126"/>
      <c r="E27" s="127"/>
      <c r="F27" s="127"/>
      <c r="G27" s="130"/>
    </row>
    <row r="28" spans="3:7" ht="15" customHeight="1" x14ac:dyDescent="0.25">
      <c r="C28" s="568" t="s">
        <v>4870</v>
      </c>
      <c r="D28" s="126" t="s">
        <v>4871</v>
      </c>
      <c r="E28" s="127"/>
      <c r="F28" s="127"/>
      <c r="G28" s="570">
        <v>0</v>
      </c>
    </row>
    <row r="29" spans="3:7" ht="13.5" customHeight="1" x14ac:dyDescent="0.25">
      <c r="D29" s="126"/>
      <c r="E29" s="127"/>
      <c r="F29" s="127"/>
      <c r="G29" s="130"/>
    </row>
    <row r="30" spans="3:7" ht="13.5" customHeight="1" x14ac:dyDescent="0.25">
      <c r="C30" s="568" t="s">
        <v>4872</v>
      </c>
      <c r="D30" s="126" t="s">
        <v>4873</v>
      </c>
      <c r="E30" s="127"/>
      <c r="F30" s="127"/>
      <c r="G30" s="570">
        <v>0</v>
      </c>
    </row>
    <row r="31" spans="3:7" ht="13.5" customHeight="1" x14ac:dyDescent="0.25">
      <c r="D31" s="126"/>
      <c r="E31" s="127"/>
      <c r="F31" s="127"/>
      <c r="G31" s="130"/>
    </row>
    <row r="32" spans="3:7" ht="14.25" customHeight="1" x14ac:dyDescent="0.25">
      <c r="C32" s="568" t="s">
        <v>4874</v>
      </c>
      <c r="D32" s="659" t="s">
        <v>4875</v>
      </c>
      <c r="E32" s="660"/>
      <c r="F32" s="660"/>
      <c r="G32" s="578">
        <f>G33*G34*G35</f>
        <v>3397238379.9086757</v>
      </c>
    </row>
    <row r="33" spans="4:7" x14ac:dyDescent="0.25">
      <c r="D33" s="126" t="s">
        <v>4876</v>
      </c>
      <c r="E33" s="127"/>
      <c r="F33" s="127"/>
      <c r="G33" s="579">
        <f>(SUMPRODUCT(G41:G90,E41:E90)+E97*F97)/(SUM(E41:E90)+E97)</f>
        <v>5.3044138618773768</v>
      </c>
    </row>
    <row r="34" spans="4:7" x14ac:dyDescent="0.25">
      <c r="D34" s="126" t="s">
        <v>4877</v>
      </c>
      <c r="E34" s="127"/>
      <c r="F34" s="127"/>
      <c r="G34" s="570">
        <f>F101</f>
        <v>64045500000</v>
      </c>
    </row>
    <row r="35" spans="4:7" x14ac:dyDescent="0.25">
      <c r="D35" s="126" t="s">
        <v>4878</v>
      </c>
      <c r="E35" s="127"/>
      <c r="F35" s="127"/>
      <c r="G35" s="576">
        <v>0.01</v>
      </c>
    </row>
    <row r="38" spans="4:7" x14ac:dyDescent="0.25">
      <c r="D38" s="580" t="s">
        <v>4879</v>
      </c>
      <c r="E38" s="581"/>
      <c r="F38" s="581"/>
      <c r="G38" s="582"/>
    </row>
    <row r="40" spans="4:7" ht="25.5" customHeight="1" x14ac:dyDescent="0.25">
      <c r="D40" s="583" t="s">
        <v>4880</v>
      </c>
      <c r="E40" s="583" t="s">
        <v>4881</v>
      </c>
      <c r="F40" s="583" t="s">
        <v>4882</v>
      </c>
      <c r="G40" s="583" t="s">
        <v>4883</v>
      </c>
    </row>
    <row r="41" spans="4:7" x14ac:dyDescent="0.25">
      <c r="D41" s="131" t="s">
        <v>4884</v>
      </c>
      <c r="E41" s="584">
        <v>1000000000</v>
      </c>
      <c r="F41" s="585">
        <v>47277</v>
      </c>
      <c r="G41" s="134">
        <f t="shared" ref="G41:G72" si="0">IF(F41&lt;&gt;"",YEAR(F41)-YEAR($G$4)+(MONTH(F41)-MONTH($G$4))/12+(DAY(F41)-DAY($G$4))/365,"")</f>
        <v>2.9397260273972603</v>
      </c>
    </row>
    <row r="42" spans="4:7" x14ac:dyDescent="0.25">
      <c r="D42" s="131" t="s">
        <v>4885</v>
      </c>
      <c r="E42" s="584">
        <v>1000000000</v>
      </c>
      <c r="F42" s="585">
        <v>46856</v>
      </c>
      <c r="G42" s="134">
        <f t="shared" si="0"/>
        <v>1.7867579908675799</v>
      </c>
    </row>
    <row r="43" spans="4:7" x14ac:dyDescent="0.25">
      <c r="D43" s="131" t="s">
        <v>4886</v>
      </c>
      <c r="E43" s="584">
        <v>1000000000</v>
      </c>
      <c r="F43" s="585">
        <v>46353</v>
      </c>
      <c r="G43" s="134">
        <f t="shared" si="0"/>
        <v>0.40844748858447488</v>
      </c>
    </row>
    <row r="44" spans="4:7" x14ac:dyDescent="0.25">
      <c r="D44" s="131" t="s">
        <v>4887</v>
      </c>
      <c r="E44" s="584">
        <v>1750000000</v>
      </c>
      <c r="F44" s="585">
        <v>46652</v>
      </c>
      <c r="G44" s="134">
        <f t="shared" si="0"/>
        <v>1.228082191780822</v>
      </c>
    </row>
    <row r="45" spans="4:7" x14ac:dyDescent="0.25">
      <c r="D45" s="131" t="s">
        <v>4888</v>
      </c>
      <c r="E45" s="584">
        <v>1000000000</v>
      </c>
      <c r="F45" s="585">
        <v>47997</v>
      </c>
      <c r="G45" s="134">
        <f t="shared" si="0"/>
        <v>4.9139269406392696</v>
      </c>
    </row>
    <row r="46" spans="4:7" x14ac:dyDescent="0.25">
      <c r="D46" s="131" t="s">
        <v>4889</v>
      </c>
      <c r="E46" s="584">
        <v>1250000000</v>
      </c>
      <c r="F46" s="585">
        <v>46334</v>
      </c>
      <c r="G46" s="134">
        <f t="shared" si="0"/>
        <v>0.35639269406392693</v>
      </c>
    </row>
    <row r="47" spans="4:7" x14ac:dyDescent="0.25">
      <c r="D47" s="131" t="s">
        <v>4890</v>
      </c>
      <c r="E47" s="584">
        <v>1250000000</v>
      </c>
      <c r="F47" s="585">
        <v>46835</v>
      </c>
      <c r="G47" s="134">
        <f t="shared" si="0"/>
        <v>1.7308219178082191</v>
      </c>
    </row>
    <row r="48" spans="4:7" x14ac:dyDescent="0.25">
      <c r="D48" s="131" t="s">
        <v>4891</v>
      </c>
      <c r="E48" s="584">
        <v>1150000000</v>
      </c>
      <c r="F48" s="585">
        <v>49332</v>
      </c>
      <c r="G48" s="134">
        <f t="shared" si="0"/>
        <v>8.5641552511415533</v>
      </c>
    </row>
    <row r="49" spans="4:7" x14ac:dyDescent="0.25">
      <c r="D49" s="131" t="s">
        <v>4892</v>
      </c>
      <c r="E49" s="584">
        <v>1250000000</v>
      </c>
      <c r="F49" s="585">
        <v>47630</v>
      </c>
      <c r="G49" s="134">
        <f t="shared" si="0"/>
        <v>3.9084474885844749</v>
      </c>
    </row>
    <row r="50" spans="4:7" x14ac:dyDescent="0.25">
      <c r="D50" s="131" t="s">
        <v>4893</v>
      </c>
      <c r="E50" s="584">
        <v>1000000000</v>
      </c>
      <c r="F50" s="585">
        <v>46701</v>
      </c>
      <c r="G50" s="134">
        <f t="shared" si="0"/>
        <v>1.3618721461187215</v>
      </c>
    </row>
    <row r="51" spans="4:7" x14ac:dyDescent="0.25">
      <c r="D51" s="131" t="s">
        <v>4894</v>
      </c>
      <c r="E51" s="584">
        <v>1000000000</v>
      </c>
      <c r="F51" s="585">
        <v>47147</v>
      </c>
      <c r="G51" s="134">
        <f t="shared" si="0"/>
        <v>2.5805936073059361</v>
      </c>
    </row>
    <row r="52" spans="4:7" x14ac:dyDescent="0.25">
      <c r="D52" s="131" t="s">
        <v>4895</v>
      </c>
      <c r="E52" s="584">
        <v>1100000000</v>
      </c>
      <c r="F52" s="585">
        <v>49703</v>
      </c>
      <c r="G52" s="134">
        <f t="shared" si="0"/>
        <v>9.5805936073059375</v>
      </c>
    </row>
    <row r="53" spans="4:7" x14ac:dyDescent="0.25">
      <c r="D53" s="131" t="s">
        <v>4896</v>
      </c>
      <c r="E53" s="584">
        <v>600000000</v>
      </c>
      <c r="F53" s="585">
        <v>47925</v>
      </c>
      <c r="G53" s="134">
        <f t="shared" si="0"/>
        <v>4.7171232876712326</v>
      </c>
    </row>
    <row r="54" spans="4:7" x14ac:dyDescent="0.25">
      <c r="D54" s="131" t="s">
        <v>4897</v>
      </c>
      <c r="E54" s="584">
        <v>750000000</v>
      </c>
      <c r="F54" s="585">
        <v>51578</v>
      </c>
      <c r="G54" s="134">
        <f t="shared" si="0"/>
        <v>14.717123287671233</v>
      </c>
    </row>
    <row r="55" spans="4:7" ht="12.75" customHeight="1" x14ac:dyDescent="0.25">
      <c r="D55" s="131" t="s">
        <v>4898</v>
      </c>
      <c r="E55" s="584">
        <v>1500000000</v>
      </c>
      <c r="F55" s="585">
        <v>47820</v>
      </c>
      <c r="G55" s="134">
        <f t="shared" si="0"/>
        <v>4.4260273972602739</v>
      </c>
    </row>
    <row r="56" spans="4:7" x14ac:dyDescent="0.25">
      <c r="D56" s="131" t="s">
        <v>4899</v>
      </c>
      <c r="E56" s="584">
        <v>1000000000</v>
      </c>
      <c r="F56" s="585">
        <v>47042</v>
      </c>
      <c r="G56" s="134">
        <f t="shared" si="0"/>
        <v>2.2949771689497718</v>
      </c>
    </row>
    <row r="57" spans="4:7" ht="12.75" customHeight="1" x14ac:dyDescent="0.25">
      <c r="D57" s="131" t="s">
        <v>4900</v>
      </c>
      <c r="E57" s="584">
        <v>1000000000</v>
      </c>
      <c r="F57" s="585">
        <v>46408</v>
      </c>
      <c r="G57" s="134">
        <f t="shared" si="0"/>
        <v>0.55867579908675791</v>
      </c>
    </row>
    <row r="58" spans="4:7" ht="12.75" customHeight="1" x14ac:dyDescent="0.25">
      <c r="D58" s="131" t="s">
        <v>4901</v>
      </c>
      <c r="E58" s="584">
        <v>1000000000</v>
      </c>
      <c r="F58" s="585">
        <v>48234</v>
      </c>
      <c r="G58" s="134">
        <f t="shared" si="0"/>
        <v>5.5586757990867577</v>
      </c>
    </row>
    <row r="59" spans="4:7" ht="12.75" customHeight="1" x14ac:dyDescent="0.25">
      <c r="D59" s="131" t="s">
        <v>4902</v>
      </c>
      <c r="E59" s="584">
        <v>1750000000</v>
      </c>
      <c r="F59" s="585">
        <v>47172</v>
      </c>
      <c r="G59" s="134">
        <f t="shared" si="0"/>
        <v>2.6474885844748859</v>
      </c>
    </row>
    <row r="60" spans="4:7" ht="12.75" customHeight="1" x14ac:dyDescent="0.25">
      <c r="D60" s="131" t="s">
        <v>4903</v>
      </c>
      <c r="E60" s="584">
        <v>1500000000</v>
      </c>
      <c r="F60" s="585">
        <v>47585</v>
      </c>
      <c r="G60" s="134">
        <f t="shared" si="0"/>
        <v>3.7840182648401828</v>
      </c>
    </row>
    <row r="61" spans="4:7" ht="12.75" customHeight="1" x14ac:dyDescent="0.25">
      <c r="D61" s="131" t="s">
        <v>4904</v>
      </c>
      <c r="E61" s="584">
        <v>1000000000</v>
      </c>
      <c r="F61" s="585">
        <v>48361</v>
      </c>
      <c r="G61" s="134">
        <f t="shared" si="0"/>
        <v>5.9084474885844749</v>
      </c>
    </row>
    <row r="62" spans="4:7" ht="12.75" customHeight="1" x14ac:dyDescent="0.25">
      <c r="D62" s="131" t="s">
        <v>4905</v>
      </c>
      <c r="E62" s="584">
        <v>1750000000</v>
      </c>
      <c r="F62" s="585">
        <v>46776</v>
      </c>
      <c r="G62" s="134">
        <f t="shared" si="0"/>
        <v>1.5668949771689498</v>
      </c>
    </row>
    <row r="63" spans="4:7" ht="12.75" customHeight="1" x14ac:dyDescent="0.25">
      <c r="D63" s="131" t="s">
        <v>4906</v>
      </c>
      <c r="E63" s="584">
        <v>1750000000</v>
      </c>
      <c r="F63" s="585">
        <v>46588</v>
      </c>
      <c r="G63" s="134">
        <f t="shared" si="0"/>
        <v>1.0559360730593608</v>
      </c>
    </row>
    <row r="64" spans="4:7" ht="12.75" customHeight="1" x14ac:dyDescent="0.25">
      <c r="D64" s="131" t="s">
        <v>4907</v>
      </c>
      <c r="E64" s="584">
        <v>1250000000</v>
      </c>
      <c r="F64" s="585">
        <v>48599</v>
      </c>
      <c r="G64" s="134">
        <f t="shared" si="0"/>
        <v>6.5559360730593603</v>
      </c>
    </row>
    <row r="65" spans="4:7" ht="12.75" customHeight="1" x14ac:dyDescent="0.25">
      <c r="D65" s="131" t="s">
        <v>4908</v>
      </c>
      <c r="E65" s="584">
        <v>1500000000</v>
      </c>
      <c r="F65" s="585">
        <v>47408</v>
      </c>
      <c r="G65" s="134">
        <f t="shared" si="0"/>
        <v>3.2977168949771691</v>
      </c>
    </row>
    <row r="66" spans="4:7" ht="12.75" customHeight="1" x14ac:dyDescent="0.25">
      <c r="D66" s="131" t="s">
        <v>4909</v>
      </c>
      <c r="E66" s="584">
        <v>2000000000</v>
      </c>
      <c r="F66" s="585">
        <v>46855</v>
      </c>
      <c r="G66" s="134">
        <f t="shared" si="0"/>
        <v>1.7840182648401826</v>
      </c>
    </row>
    <row r="67" spans="4:7" ht="12.75" customHeight="1" x14ac:dyDescent="0.25">
      <c r="D67" s="131" t="s">
        <v>4910</v>
      </c>
      <c r="E67" s="584">
        <v>750000000</v>
      </c>
      <c r="F67" s="585">
        <v>48757</v>
      </c>
      <c r="G67" s="134">
        <f t="shared" si="0"/>
        <v>6.9917808219178079</v>
      </c>
    </row>
    <row r="68" spans="4:7" ht="12.75" customHeight="1" x14ac:dyDescent="0.25">
      <c r="D68" s="131" t="s">
        <v>4911</v>
      </c>
      <c r="E68" s="584">
        <v>1000000000</v>
      </c>
      <c r="F68" s="585">
        <v>47190</v>
      </c>
      <c r="G68" s="134">
        <f t="shared" si="0"/>
        <v>2.7034246575342467</v>
      </c>
    </row>
    <row r="69" spans="4:7" ht="12.75" customHeight="1" x14ac:dyDescent="0.25">
      <c r="D69" s="131" t="s">
        <v>4912</v>
      </c>
      <c r="E69" s="584">
        <v>1000000000</v>
      </c>
      <c r="F69" s="585">
        <v>46402</v>
      </c>
      <c r="G69" s="134">
        <f t="shared" si="0"/>
        <v>0.54223744292237441</v>
      </c>
    </row>
    <row r="70" spans="4:7" ht="12.75" customHeight="1" x14ac:dyDescent="0.25">
      <c r="D70" s="131" t="s">
        <v>4913</v>
      </c>
      <c r="E70" s="584">
        <v>1500000000</v>
      </c>
      <c r="F70" s="585">
        <v>47863</v>
      </c>
      <c r="G70" s="134">
        <f t="shared" si="0"/>
        <v>4.5422374429223744</v>
      </c>
    </row>
    <row r="71" spans="4:7" ht="12.75" customHeight="1" x14ac:dyDescent="0.25">
      <c r="D71" s="131" t="s">
        <v>4914</v>
      </c>
      <c r="E71" s="584">
        <v>1500000000</v>
      </c>
      <c r="F71" s="585">
        <v>47169</v>
      </c>
      <c r="G71" s="134">
        <f t="shared" si="0"/>
        <v>2.6392694063926938</v>
      </c>
    </row>
    <row r="72" spans="4:7" ht="12.75" customHeight="1" x14ac:dyDescent="0.25">
      <c r="D72" s="131" t="s">
        <v>4915</v>
      </c>
      <c r="E72" s="584">
        <v>1000000000</v>
      </c>
      <c r="F72" s="585">
        <v>49725</v>
      </c>
      <c r="G72" s="134">
        <f t="shared" si="0"/>
        <v>9.6392694063926943</v>
      </c>
    </row>
    <row r="73" spans="4:7" ht="12.75" customHeight="1" x14ac:dyDescent="0.25">
      <c r="D73" s="131" t="s">
        <v>4916</v>
      </c>
      <c r="E73" s="584">
        <v>1500000000</v>
      </c>
      <c r="F73" s="585">
        <v>49086</v>
      </c>
      <c r="G73" s="134">
        <f t="shared" ref="G73:G90" si="1">IF(F73&lt;&gt;"",YEAR(F73)-YEAR($G$4)+(MONTH(F73)-MONTH($G$4))/12+(DAY(F73)-DAY($G$4))/365,"")</f>
        <v>7.894748858447489</v>
      </c>
    </row>
    <row r="74" spans="4:7" ht="12.75" customHeight="1" x14ac:dyDescent="0.25">
      <c r="D74" s="131" t="s">
        <v>4917</v>
      </c>
      <c r="E74" s="584">
        <v>1000000000</v>
      </c>
      <c r="F74" s="585">
        <v>47526</v>
      </c>
      <c r="G74" s="134">
        <f t="shared" si="1"/>
        <v>3.6173515981735158</v>
      </c>
    </row>
    <row r="75" spans="4:7" ht="12.75" customHeight="1" x14ac:dyDescent="0.25">
      <c r="D75" s="131" t="s">
        <v>4918</v>
      </c>
      <c r="E75" s="584">
        <v>1250000000</v>
      </c>
      <c r="F75" s="585">
        <v>48297</v>
      </c>
      <c r="G75" s="134">
        <f t="shared" si="1"/>
        <v>5.7335616438356167</v>
      </c>
    </row>
    <row r="76" spans="4:7" ht="12.75" customHeight="1" x14ac:dyDescent="0.25">
      <c r="D76" s="131" t="s">
        <v>4919</v>
      </c>
      <c r="E76" s="584">
        <v>1250000000</v>
      </c>
      <c r="F76" s="585">
        <v>47688</v>
      </c>
      <c r="G76" s="134">
        <f t="shared" si="1"/>
        <v>4.0668949771689498</v>
      </c>
    </row>
    <row r="77" spans="4:7" ht="12.75" customHeight="1" x14ac:dyDescent="0.25">
      <c r="D77" s="131" t="s">
        <v>4920</v>
      </c>
      <c r="E77" s="584">
        <v>1000000000</v>
      </c>
      <c r="F77" s="585">
        <v>49486</v>
      </c>
      <c r="G77" s="134">
        <f t="shared" si="1"/>
        <v>8.9890410958904106</v>
      </c>
    </row>
    <row r="78" spans="4:7" ht="12.75" customHeight="1" x14ac:dyDescent="0.25">
      <c r="D78" s="131" t="s">
        <v>4921</v>
      </c>
      <c r="E78" s="584">
        <v>1000000000</v>
      </c>
      <c r="F78" s="585">
        <v>47413</v>
      </c>
      <c r="G78" s="134">
        <f t="shared" si="1"/>
        <v>3.3114155251141555</v>
      </c>
    </row>
    <row r="79" spans="4:7" ht="12.75" customHeight="1" x14ac:dyDescent="0.25">
      <c r="D79" s="131" t="s">
        <v>4922</v>
      </c>
      <c r="E79" s="584">
        <v>1500000000</v>
      </c>
      <c r="F79" s="585">
        <v>49690</v>
      </c>
      <c r="G79" s="134">
        <f t="shared" si="1"/>
        <v>9.5449771689497727</v>
      </c>
    </row>
    <row r="80" spans="4:7" ht="12.75" customHeight="1" x14ac:dyDescent="0.25">
      <c r="D80" s="131" t="s">
        <v>4923</v>
      </c>
      <c r="E80" s="584">
        <v>1500000000</v>
      </c>
      <c r="F80" s="585">
        <v>48589</v>
      </c>
      <c r="G80" s="134">
        <f t="shared" si="1"/>
        <v>6.5285388127853876</v>
      </c>
    </row>
    <row r="81" spans="4:7" ht="12.75" customHeight="1" x14ac:dyDescent="0.25">
      <c r="D81" s="131"/>
      <c r="E81" s="152"/>
      <c r="F81" s="133"/>
      <c r="G81" s="134" t="str">
        <f t="shared" si="1"/>
        <v/>
      </c>
    </row>
    <row r="82" spans="4:7" ht="12.75" customHeight="1" x14ac:dyDescent="0.25">
      <c r="D82" s="131"/>
      <c r="E82" s="152"/>
      <c r="F82" s="133"/>
      <c r="G82" s="134" t="str">
        <f t="shared" si="1"/>
        <v/>
      </c>
    </row>
    <row r="83" spans="4:7" ht="12.75" customHeight="1" x14ac:dyDescent="0.25">
      <c r="D83" s="131"/>
      <c r="E83" s="152"/>
      <c r="F83" s="133"/>
      <c r="G83" s="134" t="str">
        <f t="shared" si="1"/>
        <v/>
      </c>
    </row>
    <row r="84" spans="4:7" ht="12.75" customHeight="1" x14ac:dyDescent="0.25">
      <c r="D84" s="131"/>
      <c r="E84" s="152"/>
      <c r="F84" s="133"/>
      <c r="G84" s="134" t="str">
        <f t="shared" si="1"/>
        <v/>
      </c>
    </row>
    <row r="85" spans="4:7" ht="12.75" customHeight="1" x14ac:dyDescent="0.25">
      <c r="D85" s="131"/>
      <c r="E85" s="152"/>
      <c r="F85" s="133"/>
      <c r="G85" s="134" t="str">
        <f t="shared" si="1"/>
        <v/>
      </c>
    </row>
    <row r="86" spans="4:7" ht="12.75" customHeight="1" x14ac:dyDescent="0.25">
      <c r="D86" s="131"/>
      <c r="E86" s="152"/>
      <c r="F86" s="133"/>
      <c r="G86" s="134" t="str">
        <f t="shared" si="1"/>
        <v/>
      </c>
    </row>
    <row r="87" spans="4:7" ht="12.75" customHeight="1" x14ac:dyDescent="0.25">
      <c r="D87" s="131"/>
      <c r="E87" s="152"/>
      <c r="F87" s="133"/>
      <c r="G87" s="134" t="str">
        <f t="shared" si="1"/>
        <v/>
      </c>
    </row>
    <row r="88" spans="4:7" ht="12.75" customHeight="1" x14ac:dyDescent="0.25">
      <c r="D88" s="131"/>
      <c r="E88" s="152"/>
      <c r="F88" s="133"/>
      <c r="G88" s="134" t="str">
        <f t="shared" si="1"/>
        <v/>
      </c>
    </row>
    <row r="89" spans="4:7" ht="12.75" customHeight="1" x14ac:dyDescent="0.25">
      <c r="D89" s="131"/>
      <c r="E89" s="152"/>
      <c r="F89" s="133"/>
      <c r="G89" s="134" t="str">
        <f t="shared" si="1"/>
        <v/>
      </c>
    </row>
    <row r="90" spans="4:7" ht="12.75" customHeight="1" x14ac:dyDescent="0.25">
      <c r="D90" s="131"/>
      <c r="E90" s="152"/>
      <c r="F90" s="133"/>
      <c r="G90" s="134" t="str">
        <f t="shared" si="1"/>
        <v/>
      </c>
    </row>
    <row r="91" spans="4:7" ht="12.75" customHeight="1" x14ac:dyDescent="0.25">
      <c r="D91" s="33"/>
      <c r="E91" s="586">
        <f>SUM(E41:E90)</f>
        <v>48850000000</v>
      </c>
      <c r="F91" s="587"/>
      <c r="G91" s="588"/>
    </row>
    <row r="92" spans="4:7" x14ac:dyDescent="0.25">
      <c r="D92" s="33"/>
      <c r="E92" s="589"/>
      <c r="F92" s="587"/>
      <c r="G92" s="588"/>
    </row>
    <row r="93" spans="4:7" x14ac:dyDescent="0.25">
      <c r="D93" s="33"/>
      <c r="E93" s="589"/>
      <c r="F93" s="587"/>
      <c r="G93" s="588"/>
    </row>
    <row r="94" spans="4:7" x14ac:dyDescent="0.25">
      <c r="D94" s="580" t="s">
        <v>4924</v>
      </c>
      <c r="E94" s="590"/>
      <c r="F94" s="591"/>
      <c r="G94" s="592"/>
    </row>
    <row r="95" spans="4:7" x14ac:dyDescent="0.25">
      <c r="D95" s="136"/>
      <c r="E95" s="593"/>
      <c r="F95" s="593"/>
      <c r="G95" s="137"/>
    </row>
    <row r="96" spans="4:7" ht="31.5" customHeight="1" x14ac:dyDescent="0.25">
      <c r="D96" s="136"/>
      <c r="E96" s="594" t="s">
        <v>4881</v>
      </c>
      <c r="F96" s="594" t="s">
        <v>4925</v>
      </c>
      <c r="G96" s="137"/>
    </row>
    <row r="97" spans="4:7" x14ac:dyDescent="0.25">
      <c r="D97" s="138"/>
      <c r="E97" s="148">
        <f>SUM(E106:E505)</f>
        <v>15195500000</v>
      </c>
      <c r="F97" s="149">
        <f>SUMPRODUCT(E106:E505,G106:G505)/E97</f>
        <v>8.9660099804240865</v>
      </c>
      <c r="G97" s="138"/>
    </row>
    <row r="98" spans="4:7" x14ac:dyDescent="0.25">
      <c r="D98" s="139"/>
      <c r="E98" s="140"/>
      <c r="F98" s="140"/>
      <c r="G98" s="141"/>
    </row>
    <row r="99" spans="4:7" x14ac:dyDescent="0.25">
      <c r="D99" s="22"/>
      <c r="E99" s="22"/>
      <c r="F99" s="22"/>
      <c r="G99" s="22"/>
    </row>
    <row r="100" spans="4:7" x14ac:dyDescent="0.25">
      <c r="D100" s="142"/>
      <c r="E100" s="143"/>
      <c r="F100" s="143"/>
      <c r="G100" s="144"/>
    </row>
    <row r="101" spans="4:7" x14ac:dyDescent="0.25">
      <c r="D101" s="150" t="s">
        <v>4926</v>
      </c>
      <c r="E101" s="22"/>
      <c r="F101" s="151">
        <f>E97+E91</f>
        <v>64045500000</v>
      </c>
      <c r="G101" s="138"/>
    </row>
    <row r="102" spans="4:7" x14ac:dyDescent="0.25">
      <c r="D102" s="145"/>
      <c r="E102" s="146"/>
      <c r="F102" s="146"/>
      <c r="G102" s="147"/>
    </row>
    <row r="103" spans="4:7" x14ac:dyDescent="0.25">
      <c r="D103" s="33"/>
      <c r="E103" s="589"/>
      <c r="F103" s="587"/>
      <c r="G103" s="588"/>
    </row>
    <row r="104" spans="4:7" x14ac:dyDescent="0.25">
      <c r="D104" s="33"/>
      <c r="E104" s="589"/>
      <c r="F104" s="587"/>
      <c r="G104" s="588"/>
    </row>
    <row r="105" spans="4:7" ht="25.5" customHeight="1" x14ac:dyDescent="0.25">
      <c r="D105" s="583" t="s">
        <v>4880</v>
      </c>
      <c r="E105" s="583" t="s">
        <v>4881</v>
      </c>
      <c r="F105" s="583" t="s">
        <v>4882</v>
      </c>
      <c r="G105" s="583" t="s">
        <v>4883</v>
      </c>
    </row>
    <row r="106" spans="4:7" ht="12.75" customHeight="1" x14ac:dyDescent="0.25">
      <c r="D106" s="131" t="s">
        <v>4927</v>
      </c>
      <c r="E106" s="595">
        <v>30000000</v>
      </c>
      <c r="F106" s="585">
        <v>46895</v>
      </c>
      <c r="G106" s="134">
        <f t="shared" ref="G106:G169" si="2">IF(F106&lt;&gt;"",YEAR(F106)-YEAR($G$4)+(MONTH(F106)-MONTH($G$4))/12+(DAY(F106)-DAY($G$4))/365,"")</f>
        <v>1.8947488584474887</v>
      </c>
    </row>
    <row r="107" spans="4:7" ht="12.75" customHeight="1" x14ac:dyDescent="0.25">
      <c r="D107" s="131" t="s">
        <v>2190</v>
      </c>
      <c r="E107" s="595">
        <v>25000000</v>
      </c>
      <c r="F107" s="585">
        <v>46535</v>
      </c>
      <c r="G107" s="134">
        <f t="shared" si="2"/>
        <v>0.91118721461187213</v>
      </c>
    </row>
    <row r="108" spans="4:7" ht="12.75" customHeight="1" x14ac:dyDescent="0.25">
      <c r="D108" s="131" t="s">
        <v>4928</v>
      </c>
      <c r="E108" s="595">
        <v>51000000</v>
      </c>
      <c r="F108" s="585">
        <v>46902</v>
      </c>
      <c r="G108" s="134">
        <f t="shared" si="2"/>
        <v>1.9139269406392694</v>
      </c>
    </row>
    <row r="109" spans="4:7" ht="12.75" customHeight="1" x14ac:dyDescent="0.25">
      <c r="D109" s="131" t="s">
        <v>4929</v>
      </c>
      <c r="E109" s="595">
        <v>25000000</v>
      </c>
      <c r="F109" s="585">
        <v>46916</v>
      </c>
      <c r="G109" s="134">
        <f t="shared" si="2"/>
        <v>1.9506849315068493</v>
      </c>
    </row>
    <row r="110" spans="4:7" ht="12.75" customHeight="1" x14ac:dyDescent="0.25">
      <c r="D110" s="131" t="s">
        <v>4930</v>
      </c>
      <c r="E110" s="595">
        <v>20000000</v>
      </c>
      <c r="F110" s="585">
        <v>46931</v>
      </c>
      <c r="G110" s="134">
        <f t="shared" si="2"/>
        <v>1.9917808219178081</v>
      </c>
    </row>
    <row r="111" spans="4:7" ht="12.75" customHeight="1" x14ac:dyDescent="0.25">
      <c r="D111" s="131" t="s">
        <v>4931</v>
      </c>
      <c r="E111" s="595">
        <v>130000000</v>
      </c>
      <c r="F111" s="585">
        <v>46932</v>
      </c>
      <c r="G111" s="134">
        <f t="shared" si="2"/>
        <v>1.9945205479452055</v>
      </c>
    </row>
    <row r="112" spans="4:7" ht="12.75" customHeight="1" x14ac:dyDescent="0.25">
      <c r="D112" s="131" t="s">
        <v>2173</v>
      </c>
      <c r="E112" s="595">
        <v>10000000</v>
      </c>
      <c r="F112" s="585">
        <v>46994</v>
      </c>
      <c r="G112" s="134">
        <f t="shared" si="2"/>
        <v>2.1639269406392692</v>
      </c>
    </row>
    <row r="113" spans="4:7" ht="12.75" customHeight="1" x14ac:dyDescent="0.25">
      <c r="D113" s="131" t="s">
        <v>4932</v>
      </c>
      <c r="E113" s="595">
        <v>20000000</v>
      </c>
      <c r="F113" s="585">
        <v>46994</v>
      </c>
      <c r="G113" s="134">
        <f t="shared" si="2"/>
        <v>2.1639269406392692</v>
      </c>
    </row>
    <row r="114" spans="4:7" ht="12.75" customHeight="1" x14ac:dyDescent="0.25">
      <c r="D114" s="131" t="s">
        <v>2765</v>
      </c>
      <c r="E114" s="595">
        <v>20000000</v>
      </c>
      <c r="F114" s="585">
        <v>47386</v>
      </c>
      <c r="G114" s="134">
        <f t="shared" si="2"/>
        <v>3.2363013698630136</v>
      </c>
    </row>
    <row r="115" spans="4:7" ht="12.75" customHeight="1" x14ac:dyDescent="0.25">
      <c r="D115" s="131" t="s">
        <v>4933</v>
      </c>
      <c r="E115" s="595">
        <v>30000000</v>
      </c>
      <c r="F115" s="585">
        <v>48880</v>
      </c>
      <c r="G115" s="134">
        <f t="shared" si="2"/>
        <v>7.3278538812785383</v>
      </c>
    </row>
    <row r="116" spans="4:7" ht="12.75" customHeight="1" x14ac:dyDescent="0.25">
      <c r="D116" s="131" t="s">
        <v>4934</v>
      </c>
      <c r="E116" s="595">
        <v>20000000</v>
      </c>
      <c r="F116" s="585">
        <v>48897</v>
      </c>
      <c r="G116" s="134">
        <f t="shared" si="2"/>
        <v>7.372831050228311</v>
      </c>
    </row>
    <row r="117" spans="4:7" ht="12.75" customHeight="1" x14ac:dyDescent="0.25">
      <c r="D117" s="131" t="s">
        <v>4935</v>
      </c>
      <c r="E117" s="595">
        <v>9000000</v>
      </c>
      <c r="F117" s="585">
        <v>47451</v>
      </c>
      <c r="G117" s="134">
        <f t="shared" si="2"/>
        <v>3.4139269406392692</v>
      </c>
    </row>
    <row r="118" spans="4:7" ht="12.75" customHeight="1" x14ac:dyDescent="0.25">
      <c r="D118" s="131" t="s">
        <v>4936</v>
      </c>
      <c r="E118" s="595">
        <v>10500000</v>
      </c>
      <c r="F118" s="585">
        <v>48912</v>
      </c>
      <c r="G118" s="134">
        <f t="shared" si="2"/>
        <v>7.4139269406392696</v>
      </c>
    </row>
    <row r="119" spans="4:7" ht="12.75" customHeight="1" x14ac:dyDescent="0.25">
      <c r="D119" s="131" t="s">
        <v>4937</v>
      </c>
      <c r="E119" s="595">
        <v>10000000</v>
      </c>
      <c r="F119" s="585">
        <v>49284</v>
      </c>
      <c r="G119" s="134">
        <f t="shared" si="2"/>
        <v>8.4342465753424651</v>
      </c>
    </row>
    <row r="120" spans="4:7" ht="12.75" customHeight="1" x14ac:dyDescent="0.25">
      <c r="D120" s="131" t="s">
        <v>2766</v>
      </c>
      <c r="E120" s="595">
        <v>20000000</v>
      </c>
      <c r="F120" s="585">
        <v>49660</v>
      </c>
      <c r="G120" s="134">
        <f t="shared" si="2"/>
        <v>9.4643835616438352</v>
      </c>
    </row>
    <row r="121" spans="4:7" ht="12.75" customHeight="1" x14ac:dyDescent="0.25">
      <c r="D121" s="131" t="s">
        <v>4938</v>
      </c>
      <c r="E121" s="595">
        <v>25000000</v>
      </c>
      <c r="F121" s="585">
        <v>48974</v>
      </c>
      <c r="G121" s="134">
        <f t="shared" si="2"/>
        <v>7.583333333333333</v>
      </c>
    </row>
    <row r="122" spans="4:7" ht="12.75" customHeight="1" x14ac:dyDescent="0.25">
      <c r="D122" s="131" t="s">
        <v>4939</v>
      </c>
      <c r="E122" s="595">
        <v>25000000</v>
      </c>
      <c r="F122" s="585">
        <v>48975</v>
      </c>
      <c r="G122" s="134">
        <f t="shared" si="2"/>
        <v>7.5860730593607304</v>
      </c>
    </row>
    <row r="123" spans="4:7" ht="12.75" customHeight="1" x14ac:dyDescent="0.25">
      <c r="D123" s="131" t="s">
        <v>4940</v>
      </c>
      <c r="E123" s="595">
        <v>40000000</v>
      </c>
      <c r="F123" s="585">
        <v>51466</v>
      </c>
      <c r="G123" s="134">
        <f t="shared" si="2"/>
        <v>14.405707762557077</v>
      </c>
    </row>
    <row r="124" spans="4:7" ht="12.75" customHeight="1" x14ac:dyDescent="0.25">
      <c r="D124" s="131" t="s">
        <v>4941</v>
      </c>
      <c r="E124" s="595">
        <v>10000000</v>
      </c>
      <c r="F124" s="585">
        <v>47259</v>
      </c>
      <c r="G124" s="134">
        <f t="shared" si="2"/>
        <v>2.8920091324200912</v>
      </c>
    </row>
    <row r="125" spans="4:7" ht="12.75" customHeight="1" x14ac:dyDescent="0.25">
      <c r="D125" s="131" t="s">
        <v>4942</v>
      </c>
      <c r="E125" s="595">
        <v>62000000</v>
      </c>
      <c r="F125" s="585">
        <v>49094</v>
      </c>
      <c r="G125" s="134">
        <f t="shared" si="2"/>
        <v>7.916666666666667</v>
      </c>
    </row>
    <row r="126" spans="4:7" ht="12.75" customHeight="1" x14ac:dyDescent="0.25">
      <c r="D126" s="131" t="s">
        <v>4943</v>
      </c>
      <c r="E126" s="595">
        <v>50000000</v>
      </c>
      <c r="F126" s="585">
        <v>51221</v>
      </c>
      <c r="G126" s="134">
        <f t="shared" si="2"/>
        <v>13.739041095890411</v>
      </c>
    </row>
    <row r="127" spans="4:7" ht="12.75" customHeight="1" x14ac:dyDescent="0.25">
      <c r="D127" s="131" t="s">
        <v>4944</v>
      </c>
      <c r="E127" s="595">
        <v>35000000</v>
      </c>
      <c r="F127" s="585">
        <v>51375</v>
      </c>
      <c r="G127" s="134">
        <f t="shared" si="2"/>
        <v>14.158447488584475</v>
      </c>
    </row>
    <row r="128" spans="4:7" ht="12.75" customHeight="1" x14ac:dyDescent="0.25">
      <c r="D128" s="131" t="s">
        <v>4945</v>
      </c>
      <c r="E128" s="595">
        <v>50000000</v>
      </c>
      <c r="F128" s="585">
        <v>51110</v>
      </c>
      <c r="G128" s="134">
        <f t="shared" si="2"/>
        <v>13.434246575342465</v>
      </c>
    </row>
    <row r="129" spans="4:7" ht="12.75" customHeight="1" x14ac:dyDescent="0.25">
      <c r="D129" s="131" t="s">
        <v>4946</v>
      </c>
      <c r="E129" s="595">
        <v>5000000</v>
      </c>
      <c r="F129" s="585">
        <v>47310</v>
      </c>
      <c r="G129" s="134">
        <f t="shared" si="2"/>
        <v>3.0312785388127854</v>
      </c>
    </row>
    <row r="130" spans="4:7" ht="12.75" customHeight="1" x14ac:dyDescent="0.25">
      <c r="D130" s="131" t="s">
        <v>4947</v>
      </c>
      <c r="E130" s="595">
        <v>14000000</v>
      </c>
      <c r="F130" s="585">
        <v>47329</v>
      </c>
      <c r="G130" s="134">
        <f t="shared" si="2"/>
        <v>3.0833333333333335</v>
      </c>
    </row>
    <row r="131" spans="4:7" ht="12.75" customHeight="1" x14ac:dyDescent="0.25">
      <c r="D131" s="131" t="s">
        <v>4948</v>
      </c>
      <c r="E131" s="595">
        <v>10000000</v>
      </c>
      <c r="F131" s="585">
        <v>47357</v>
      </c>
      <c r="G131" s="134">
        <f t="shared" si="2"/>
        <v>3.1584474885844749</v>
      </c>
    </row>
    <row r="132" spans="4:7" ht="12.75" customHeight="1" x14ac:dyDescent="0.25">
      <c r="D132" s="131" t="s">
        <v>4949</v>
      </c>
      <c r="E132" s="595">
        <v>5000000</v>
      </c>
      <c r="F132" s="585">
        <v>46283</v>
      </c>
      <c r="G132" s="134">
        <f t="shared" si="2"/>
        <v>0.21712328767123287</v>
      </c>
    </row>
    <row r="133" spans="4:7" ht="12.75" customHeight="1" x14ac:dyDescent="0.25">
      <c r="D133" s="131" t="s">
        <v>4950</v>
      </c>
      <c r="E133" s="595">
        <v>10000000</v>
      </c>
      <c r="F133" s="585">
        <v>51060</v>
      </c>
      <c r="G133" s="134">
        <f t="shared" si="2"/>
        <v>13.297716894977169</v>
      </c>
    </row>
    <row r="134" spans="4:7" ht="12.75" customHeight="1" x14ac:dyDescent="0.25">
      <c r="D134" s="131" t="s">
        <v>2768</v>
      </c>
      <c r="E134" s="595">
        <v>50000000</v>
      </c>
      <c r="F134" s="585">
        <v>51936</v>
      </c>
      <c r="G134" s="134">
        <f t="shared" si="2"/>
        <v>15.697945205479453</v>
      </c>
    </row>
    <row r="135" spans="4:7" ht="12.75" customHeight="1" x14ac:dyDescent="0.25">
      <c r="D135" s="131" t="s">
        <v>4951</v>
      </c>
      <c r="E135" s="595">
        <v>5000000</v>
      </c>
      <c r="F135" s="585">
        <v>49367</v>
      </c>
      <c r="G135" s="134">
        <f t="shared" si="2"/>
        <v>8.6584474885844749</v>
      </c>
    </row>
    <row r="136" spans="4:7" ht="12.75" customHeight="1" x14ac:dyDescent="0.25">
      <c r="D136" s="131" t="s">
        <v>4952</v>
      </c>
      <c r="E136" s="595">
        <v>10000000</v>
      </c>
      <c r="F136" s="585">
        <v>53034</v>
      </c>
      <c r="G136" s="134">
        <f t="shared" si="2"/>
        <v>18.703424657534246</v>
      </c>
    </row>
    <row r="137" spans="4:7" ht="12.75" customHeight="1" x14ac:dyDescent="0.25">
      <c r="D137" s="131" t="s">
        <v>4953</v>
      </c>
      <c r="E137" s="595">
        <v>25000000</v>
      </c>
      <c r="F137" s="585">
        <v>47877</v>
      </c>
      <c r="G137" s="134">
        <f t="shared" si="2"/>
        <v>4.5805936073059357</v>
      </c>
    </row>
    <row r="138" spans="4:7" ht="12.75" customHeight="1" x14ac:dyDescent="0.25">
      <c r="D138" s="131" t="s">
        <v>4954</v>
      </c>
      <c r="E138" s="595">
        <v>20000000</v>
      </c>
      <c r="F138" s="585">
        <v>47889</v>
      </c>
      <c r="G138" s="134">
        <f t="shared" si="2"/>
        <v>4.6118721461187215</v>
      </c>
    </row>
    <row r="139" spans="4:7" ht="12.75" customHeight="1" x14ac:dyDescent="0.25">
      <c r="D139" s="131" t="s">
        <v>4955</v>
      </c>
      <c r="E139" s="595">
        <v>35000000</v>
      </c>
      <c r="F139" s="585">
        <v>51550</v>
      </c>
      <c r="G139" s="134">
        <f t="shared" si="2"/>
        <v>14.6337899543379</v>
      </c>
    </row>
    <row r="140" spans="4:7" ht="12.75" customHeight="1" x14ac:dyDescent="0.25">
      <c r="D140" s="131" t="s">
        <v>4956</v>
      </c>
      <c r="E140" s="595">
        <v>80000000</v>
      </c>
      <c r="F140" s="585">
        <v>50486</v>
      </c>
      <c r="G140" s="134">
        <f t="shared" si="2"/>
        <v>11.728082191780821</v>
      </c>
    </row>
    <row r="141" spans="4:7" ht="12.75" customHeight="1" x14ac:dyDescent="0.25">
      <c r="D141" s="131" t="s">
        <v>4957</v>
      </c>
      <c r="E141" s="595">
        <v>25000000</v>
      </c>
      <c r="F141" s="585">
        <v>47931</v>
      </c>
      <c r="G141" s="134">
        <f t="shared" si="2"/>
        <v>4.7335616438356167</v>
      </c>
    </row>
    <row r="142" spans="4:7" ht="12.75" customHeight="1" x14ac:dyDescent="0.25">
      <c r="D142" s="131" t="s">
        <v>4958</v>
      </c>
      <c r="E142" s="595">
        <v>65000000</v>
      </c>
      <c r="F142" s="585">
        <v>50859</v>
      </c>
      <c r="G142" s="134">
        <f t="shared" si="2"/>
        <v>12.75</v>
      </c>
    </row>
    <row r="143" spans="4:7" ht="12.75" customHeight="1" x14ac:dyDescent="0.25">
      <c r="D143" s="131" t="s">
        <v>4959</v>
      </c>
      <c r="E143" s="595">
        <v>40000000</v>
      </c>
      <c r="F143" s="585">
        <v>49828</v>
      </c>
      <c r="G143" s="134">
        <f t="shared" si="2"/>
        <v>9.9232876712328775</v>
      </c>
    </row>
    <row r="144" spans="4:7" ht="12.75" customHeight="1" x14ac:dyDescent="0.25">
      <c r="D144" s="131" t="s">
        <v>4960</v>
      </c>
      <c r="E144" s="595">
        <v>30000000</v>
      </c>
      <c r="F144" s="585">
        <v>50199</v>
      </c>
      <c r="G144" s="134">
        <f t="shared" si="2"/>
        <v>10.93972602739726</v>
      </c>
    </row>
    <row r="145" spans="4:7" ht="12.75" customHeight="1" x14ac:dyDescent="0.25">
      <c r="D145" s="131" t="s">
        <v>4961</v>
      </c>
      <c r="E145" s="595">
        <v>30000000</v>
      </c>
      <c r="F145" s="585">
        <v>50936</v>
      </c>
      <c r="G145" s="134">
        <f t="shared" si="2"/>
        <v>12.95890410958904</v>
      </c>
    </row>
    <row r="146" spans="4:7" ht="12.75" customHeight="1" x14ac:dyDescent="0.25">
      <c r="D146" s="131" t="s">
        <v>4962</v>
      </c>
      <c r="E146" s="595">
        <v>1500000000</v>
      </c>
      <c r="F146" s="585">
        <v>48029</v>
      </c>
      <c r="G146" s="134">
        <f t="shared" si="2"/>
        <v>5</v>
      </c>
    </row>
    <row r="147" spans="4:7" ht="12.75" customHeight="1" x14ac:dyDescent="0.25">
      <c r="D147" s="131" t="s">
        <v>2771</v>
      </c>
      <c r="E147" s="595">
        <v>25000000</v>
      </c>
      <c r="F147" s="585">
        <v>49881</v>
      </c>
      <c r="G147" s="134">
        <f t="shared" si="2"/>
        <v>10.069634703196348</v>
      </c>
    </row>
    <row r="148" spans="4:7" ht="12.75" customHeight="1" x14ac:dyDescent="0.25">
      <c r="D148" s="131" t="s">
        <v>2772</v>
      </c>
      <c r="E148" s="595">
        <v>27000000</v>
      </c>
      <c r="F148" s="585">
        <v>50783</v>
      </c>
      <c r="G148" s="134">
        <f t="shared" si="2"/>
        <v>12.53675799086758</v>
      </c>
    </row>
    <row r="149" spans="4:7" ht="12.75" customHeight="1" x14ac:dyDescent="0.25">
      <c r="D149" s="131" t="s">
        <v>4963</v>
      </c>
      <c r="E149" s="595">
        <v>40000000</v>
      </c>
      <c r="F149" s="585">
        <v>47144</v>
      </c>
      <c r="G149" s="134">
        <f t="shared" si="2"/>
        <v>2.5723744292237445</v>
      </c>
    </row>
    <row r="150" spans="4:7" ht="12.75" customHeight="1" x14ac:dyDescent="0.25">
      <c r="D150" s="131" t="s">
        <v>4964</v>
      </c>
      <c r="E150" s="595">
        <v>20000000</v>
      </c>
      <c r="F150" s="585">
        <v>53724</v>
      </c>
      <c r="G150" s="134">
        <f t="shared" si="2"/>
        <v>20.587214611872149</v>
      </c>
    </row>
    <row r="151" spans="4:7" ht="12.75" customHeight="1" x14ac:dyDescent="0.25">
      <c r="D151" s="131" t="s">
        <v>4965</v>
      </c>
      <c r="E151" s="595">
        <v>50000000</v>
      </c>
      <c r="F151" s="585">
        <v>51910</v>
      </c>
      <c r="G151" s="134">
        <f t="shared" si="2"/>
        <v>15.620091324200912</v>
      </c>
    </row>
    <row r="152" spans="4:7" ht="12.75" customHeight="1" x14ac:dyDescent="0.25">
      <c r="D152" s="131" t="s">
        <v>4966</v>
      </c>
      <c r="E152" s="595">
        <v>50000000</v>
      </c>
      <c r="F152" s="585">
        <v>50143</v>
      </c>
      <c r="G152" s="134">
        <f t="shared" si="2"/>
        <v>10.78675799086758</v>
      </c>
    </row>
    <row r="153" spans="4:7" ht="12.75" customHeight="1" x14ac:dyDescent="0.25">
      <c r="D153" s="131" t="s">
        <v>4967</v>
      </c>
      <c r="E153" s="595">
        <v>50000000</v>
      </c>
      <c r="F153" s="585">
        <v>50165</v>
      </c>
      <c r="G153" s="134">
        <f t="shared" si="2"/>
        <v>10.848173515981735</v>
      </c>
    </row>
    <row r="154" spans="4:7" ht="12.75" customHeight="1" x14ac:dyDescent="0.25">
      <c r="D154" s="131" t="s">
        <v>4968</v>
      </c>
      <c r="E154" s="595">
        <v>60000000</v>
      </c>
      <c r="F154" s="585">
        <v>49474</v>
      </c>
      <c r="G154" s="134">
        <f t="shared" si="2"/>
        <v>8.956164383561644</v>
      </c>
    </row>
    <row r="155" spans="4:7" ht="12.75" customHeight="1" x14ac:dyDescent="0.25">
      <c r="D155" s="131" t="s">
        <v>4969</v>
      </c>
      <c r="E155" s="595">
        <v>104000000</v>
      </c>
      <c r="F155" s="585">
        <v>50221</v>
      </c>
      <c r="G155" s="134">
        <f t="shared" si="2"/>
        <v>11</v>
      </c>
    </row>
    <row r="156" spans="4:7" ht="12.75" customHeight="1" x14ac:dyDescent="0.25">
      <c r="D156" s="131" t="s">
        <v>4970</v>
      </c>
      <c r="E156" s="595">
        <v>5000000</v>
      </c>
      <c r="F156" s="585">
        <v>50241</v>
      </c>
      <c r="G156" s="134">
        <f t="shared" si="2"/>
        <v>11.055936073059362</v>
      </c>
    </row>
    <row r="157" spans="4:7" ht="12.75" customHeight="1" x14ac:dyDescent="0.25">
      <c r="D157" s="131" t="s">
        <v>4971</v>
      </c>
      <c r="E157" s="595">
        <v>25000000</v>
      </c>
      <c r="F157" s="585">
        <v>50325</v>
      </c>
      <c r="G157" s="134">
        <f t="shared" si="2"/>
        <v>11.284018264840183</v>
      </c>
    </row>
    <row r="158" spans="4:7" ht="12.75" customHeight="1" x14ac:dyDescent="0.25">
      <c r="D158" s="131" t="s">
        <v>4972</v>
      </c>
      <c r="E158" s="595">
        <v>100000000</v>
      </c>
      <c r="F158" s="585">
        <v>50339</v>
      </c>
      <c r="G158" s="134">
        <f t="shared" si="2"/>
        <v>11.322374429223744</v>
      </c>
    </row>
    <row r="159" spans="4:7" ht="12.75" customHeight="1" x14ac:dyDescent="0.25">
      <c r="D159" s="131" t="s">
        <v>4973</v>
      </c>
      <c r="E159" s="595">
        <v>30000000</v>
      </c>
      <c r="F159" s="585">
        <v>50431</v>
      </c>
      <c r="G159" s="134">
        <f t="shared" si="2"/>
        <v>11.572374429223744</v>
      </c>
    </row>
    <row r="160" spans="4:7" ht="12.75" customHeight="1" x14ac:dyDescent="0.25">
      <c r="D160" s="131" t="s">
        <v>4974</v>
      </c>
      <c r="E160" s="595">
        <v>50000000</v>
      </c>
      <c r="F160" s="585">
        <v>50465</v>
      </c>
      <c r="G160" s="134">
        <f t="shared" si="2"/>
        <v>11.670547945205479</v>
      </c>
    </row>
    <row r="161" spans="4:7" ht="12.75" customHeight="1" x14ac:dyDescent="0.25">
      <c r="D161" s="131" t="s">
        <v>4975</v>
      </c>
      <c r="E161" s="595">
        <v>50000000</v>
      </c>
      <c r="F161" s="585">
        <v>50507</v>
      </c>
      <c r="G161" s="134">
        <f t="shared" si="2"/>
        <v>11.784018264840183</v>
      </c>
    </row>
    <row r="162" spans="4:7" ht="12.75" customHeight="1" x14ac:dyDescent="0.25">
      <c r="D162" s="131" t="s">
        <v>4976</v>
      </c>
      <c r="E162" s="595">
        <v>25000000</v>
      </c>
      <c r="F162" s="585">
        <v>50507</v>
      </c>
      <c r="G162" s="134">
        <f t="shared" si="2"/>
        <v>11.784018264840183</v>
      </c>
    </row>
    <row r="163" spans="4:7" ht="12.75" customHeight="1" x14ac:dyDescent="0.25">
      <c r="D163" s="131" t="s">
        <v>4977</v>
      </c>
      <c r="E163" s="595">
        <v>50000000</v>
      </c>
      <c r="F163" s="585">
        <v>50527</v>
      </c>
      <c r="G163" s="134">
        <f t="shared" si="2"/>
        <v>11.839954337899544</v>
      </c>
    </row>
    <row r="164" spans="4:7" ht="12.75" customHeight="1" x14ac:dyDescent="0.25">
      <c r="D164" s="131" t="s">
        <v>4978</v>
      </c>
      <c r="E164" s="595">
        <v>25000000</v>
      </c>
      <c r="F164" s="585">
        <v>52341</v>
      </c>
      <c r="G164" s="134">
        <f t="shared" si="2"/>
        <v>16.80593607305936</v>
      </c>
    </row>
    <row r="165" spans="4:7" ht="12.75" customHeight="1" x14ac:dyDescent="0.25">
      <c r="D165" s="131" t="s">
        <v>4979</v>
      </c>
      <c r="E165" s="595">
        <v>16000000</v>
      </c>
      <c r="F165" s="585">
        <v>46888</v>
      </c>
      <c r="G165" s="134">
        <f t="shared" si="2"/>
        <v>1.8755707762557079</v>
      </c>
    </row>
    <row r="166" spans="4:7" ht="12.75" customHeight="1" x14ac:dyDescent="0.25">
      <c r="D166" s="131" t="s">
        <v>4980</v>
      </c>
      <c r="E166" s="595">
        <v>50000000</v>
      </c>
      <c r="F166" s="585">
        <v>50570</v>
      </c>
      <c r="G166" s="134">
        <f t="shared" si="2"/>
        <v>11.956164383561644</v>
      </c>
    </row>
    <row r="167" spans="4:7" ht="12.75" customHeight="1" x14ac:dyDescent="0.25">
      <c r="D167" s="131" t="s">
        <v>4981</v>
      </c>
      <c r="E167" s="595">
        <v>10000000</v>
      </c>
      <c r="F167" s="585">
        <v>48772</v>
      </c>
      <c r="G167" s="134">
        <f t="shared" si="2"/>
        <v>7.0340182648401823</v>
      </c>
    </row>
    <row r="168" spans="4:7" ht="12.75" customHeight="1" x14ac:dyDescent="0.25">
      <c r="D168" s="131" t="s">
        <v>4982</v>
      </c>
      <c r="E168" s="595">
        <v>25000000</v>
      </c>
      <c r="F168" s="585">
        <v>50619</v>
      </c>
      <c r="G168" s="134">
        <f t="shared" si="2"/>
        <v>12.089954337899544</v>
      </c>
    </row>
    <row r="169" spans="4:7" ht="12.75" customHeight="1" x14ac:dyDescent="0.25">
      <c r="D169" s="131" t="s">
        <v>4983</v>
      </c>
      <c r="E169" s="595">
        <v>10000000</v>
      </c>
      <c r="F169" s="585">
        <v>51744</v>
      </c>
      <c r="G169" s="134">
        <f t="shared" si="2"/>
        <v>15.169406392694063</v>
      </c>
    </row>
    <row r="170" spans="4:7" ht="12.75" customHeight="1" x14ac:dyDescent="0.25">
      <c r="D170" s="131" t="s">
        <v>4984</v>
      </c>
      <c r="E170" s="595">
        <v>25000000</v>
      </c>
      <c r="F170" s="585">
        <v>50711</v>
      </c>
      <c r="G170" s="134">
        <f t="shared" ref="G170:G233" si="3">IF(F170&lt;&gt;"",YEAR(F170)-YEAR($G$4)+(MONTH(F170)-MONTH($G$4))/12+(DAY(F170)-DAY($G$4))/365,"")</f>
        <v>12.339954337899544</v>
      </c>
    </row>
    <row r="171" spans="4:7" ht="12.75" customHeight="1" x14ac:dyDescent="0.25">
      <c r="D171" s="131" t="s">
        <v>4985</v>
      </c>
      <c r="E171" s="595">
        <v>5000000</v>
      </c>
      <c r="F171" s="585">
        <v>47044</v>
      </c>
      <c r="G171" s="134">
        <f t="shared" si="3"/>
        <v>2.3004566210045665</v>
      </c>
    </row>
    <row r="172" spans="4:7" ht="12.75" customHeight="1" x14ac:dyDescent="0.25">
      <c r="D172" s="131" t="s">
        <v>4986</v>
      </c>
      <c r="E172" s="595">
        <v>25000000</v>
      </c>
      <c r="F172" s="585">
        <v>50731</v>
      </c>
      <c r="G172" s="134">
        <f t="shared" si="3"/>
        <v>12.394748858447487</v>
      </c>
    </row>
    <row r="173" spans="4:7" ht="12.75" customHeight="1" x14ac:dyDescent="0.25">
      <c r="D173" s="131" t="s">
        <v>4987</v>
      </c>
      <c r="E173" s="595">
        <v>30000000</v>
      </c>
      <c r="F173" s="585">
        <v>50753</v>
      </c>
      <c r="G173" s="134">
        <f t="shared" si="3"/>
        <v>12.456164383561644</v>
      </c>
    </row>
    <row r="174" spans="4:7" ht="12.75" customHeight="1" x14ac:dyDescent="0.25">
      <c r="D174" s="131" t="s">
        <v>4988</v>
      </c>
      <c r="E174" s="595">
        <v>25000000</v>
      </c>
      <c r="F174" s="585">
        <v>50760</v>
      </c>
      <c r="G174" s="134">
        <f t="shared" si="3"/>
        <v>12.475342465753425</v>
      </c>
    </row>
    <row r="175" spans="4:7" ht="12.75" customHeight="1" x14ac:dyDescent="0.25">
      <c r="D175" s="131" t="s">
        <v>4989</v>
      </c>
      <c r="E175" s="595">
        <v>50000000</v>
      </c>
      <c r="F175" s="585">
        <v>50787</v>
      </c>
      <c r="G175" s="134">
        <f t="shared" si="3"/>
        <v>12.547716894977169</v>
      </c>
    </row>
    <row r="176" spans="4:7" ht="12.75" customHeight="1" x14ac:dyDescent="0.25">
      <c r="D176" s="131" t="s">
        <v>4990</v>
      </c>
      <c r="E176" s="595">
        <v>10000000</v>
      </c>
      <c r="F176" s="585">
        <v>47141</v>
      </c>
      <c r="G176" s="134">
        <f t="shared" si="3"/>
        <v>2.5641552511415528</v>
      </c>
    </row>
    <row r="177" spans="4:7" ht="12.75" customHeight="1" x14ac:dyDescent="0.25">
      <c r="D177" s="131" t="s">
        <v>4991</v>
      </c>
      <c r="E177" s="595">
        <v>50000000</v>
      </c>
      <c r="F177" s="585">
        <v>50808</v>
      </c>
      <c r="G177" s="134">
        <f t="shared" si="3"/>
        <v>12.603652968036529</v>
      </c>
    </row>
    <row r="178" spans="4:7" ht="12.75" customHeight="1" x14ac:dyDescent="0.25">
      <c r="D178" s="131" t="s">
        <v>4992</v>
      </c>
      <c r="E178" s="595">
        <v>10000000</v>
      </c>
      <c r="F178" s="585">
        <v>50840</v>
      </c>
      <c r="G178" s="134">
        <f t="shared" si="3"/>
        <v>12.697945205479453</v>
      </c>
    </row>
    <row r="179" spans="4:7" ht="12.75" customHeight="1" x14ac:dyDescent="0.25">
      <c r="D179" s="131" t="s">
        <v>4993</v>
      </c>
      <c r="E179" s="595">
        <v>50000000</v>
      </c>
      <c r="F179" s="585">
        <v>50847</v>
      </c>
      <c r="G179" s="134">
        <f t="shared" si="3"/>
        <v>12.717123287671233</v>
      </c>
    </row>
    <row r="180" spans="4:7" ht="12.75" customHeight="1" x14ac:dyDescent="0.25">
      <c r="D180" s="131" t="s">
        <v>4994</v>
      </c>
      <c r="E180" s="595">
        <v>25000000</v>
      </c>
      <c r="F180" s="585">
        <v>54525</v>
      </c>
      <c r="G180" s="134">
        <f t="shared" si="3"/>
        <v>22.784018264840181</v>
      </c>
    </row>
    <row r="181" spans="4:7" ht="12.75" customHeight="1" x14ac:dyDescent="0.25">
      <c r="D181" s="131" t="s">
        <v>4995</v>
      </c>
      <c r="E181" s="595">
        <v>50000000</v>
      </c>
      <c r="F181" s="585">
        <v>49058</v>
      </c>
      <c r="G181" s="134">
        <f t="shared" si="3"/>
        <v>7.8168949771689498</v>
      </c>
    </row>
    <row r="182" spans="4:7" ht="12.75" customHeight="1" x14ac:dyDescent="0.25">
      <c r="D182" s="131" t="s">
        <v>4996</v>
      </c>
      <c r="E182" s="595">
        <v>18000000</v>
      </c>
      <c r="F182" s="585">
        <v>50892</v>
      </c>
      <c r="G182" s="134">
        <f t="shared" si="3"/>
        <v>12.839954337899544</v>
      </c>
    </row>
    <row r="183" spans="4:7" ht="12.75" customHeight="1" x14ac:dyDescent="0.25">
      <c r="D183" s="131" t="s">
        <v>4997</v>
      </c>
      <c r="E183" s="595">
        <v>27000000</v>
      </c>
      <c r="F183" s="585">
        <v>50899</v>
      </c>
      <c r="G183" s="134">
        <f t="shared" si="3"/>
        <v>12.859132420091324</v>
      </c>
    </row>
    <row r="184" spans="4:7" ht="12.75" customHeight="1" x14ac:dyDescent="0.25">
      <c r="D184" s="131" t="s">
        <v>4998</v>
      </c>
      <c r="E184" s="595">
        <v>10000000</v>
      </c>
      <c r="F184" s="585">
        <v>47311</v>
      </c>
      <c r="G184" s="134">
        <f t="shared" si="3"/>
        <v>3.0340182648401828</v>
      </c>
    </row>
    <row r="185" spans="4:7" ht="12.75" customHeight="1" x14ac:dyDescent="0.25">
      <c r="D185" s="131" t="s">
        <v>4999</v>
      </c>
      <c r="E185" s="595">
        <v>20000000</v>
      </c>
      <c r="F185" s="585">
        <v>52797</v>
      </c>
      <c r="G185" s="134">
        <f t="shared" si="3"/>
        <v>18.053196347031964</v>
      </c>
    </row>
    <row r="186" spans="4:7" ht="12.75" customHeight="1" x14ac:dyDescent="0.25">
      <c r="D186" s="131" t="s">
        <v>5000</v>
      </c>
      <c r="E186" s="595">
        <v>50000000</v>
      </c>
      <c r="F186" s="585">
        <v>51263</v>
      </c>
      <c r="G186" s="134">
        <f t="shared" si="3"/>
        <v>13.853652968036529</v>
      </c>
    </row>
    <row r="187" spans="4:7" ht="12.75" customHeight="1" x14ac:dyDescent="0.25">
      <c r="D187" s="131" t="s">
        <v>5001</v>
      </c>
      <c r="E187" s="595">
        <v>10000000</v>
      </c>
      <c r="F187" s="585">
        <v>48870</v>
      </c>
      <c r="G187" s="134">
        <f t="shared" si="3"/>
        <v>7.3004566210045656</v>
      </c>
    </row>
    <row r="188" spans="4:7" ht="12.75" customHeight="1" x14ac:dyDescent="0.25">
      <c r="D188" s="131" t="s">
        <v>5002</v>
      </c>
      <c r="E188" s="595">
        <v>10000000</v>
      </c>
      <c r="F188" s="585">
        <v>46646</v>
      </c>
      <c r="G188" s="134">
        <f t="shared" si="3"/>
        <v>1.2116438356164383</v>
      </c>
    </row>
    <row r="189" spans="4:7" ht="12.75" customHeight="1" x14ac:dyDescent="0.25">
      <c r="D189" s="131" t="s">
        <v>5003</v>
      </c>
      <c r="E189" s="595">
        <v>20000000</v>
      </c>
      <c r="F189" s="585">
        <v>47499</v>
      </c>
      <c r="G189" s="134">
        <f t="shared" si="3"/>
        <v>3.5449771689497718</v>
      </c>
    </row>
    <row r="190" spans="4:7" ht="12.75" customHeight="1" x14ac:dyDescent="0.25">
      <c r="D190" s="131" t="s">
        <v>5004</v>
      </c>
      <c r="E190" s="595">
        <v>15000000</v>
      </c>
      <c r="F190" s="585">
        <v>48634</v>
      </c>
      <c r="G190" s="134">
        <f t="shared" si="3"/>
        <v>6.6502283105022837</v>
      </c>
    </row>
    <row r="191" spans="4:7" ht="12.75" customHeight="1" x14ac:dyDescent="0.25">
      <c r="D191" s="131" t="s">
        <v>5005</v>
      </c>
      <c r="E191" s="595">
        <v>20000000</v>
      </c>
      <c r="F191" s="585">
        <v>47585</v>
      </c>
      <c r="G191" s="134">
        <f t="shared" si="3"/>
        <v>3.7840182648401828</v>
      </c>
    </row>
    <row r="192" spans="4:7" ht="12.75" customHeight="1" x14ac:dyDescent="0.25">
      <c r="D192" s="131" t="s">
        <v>5006</v>
      </c>
      <c r="E192" s="595">
        <v>10000000</v>
      </c>
      <c r="F192" s="585">
        <v>52572</v>
      </c>
      <c r="G192" s="134">
        <f t="shared" si="3"/>
        <v>17.436986301369863</v>
      </c>
    </row>
    <row r="193" spans="4:7" ht="12.75" customHeight="1" x14ac:dyDescent="0.25">
      <c r="D193" s="131" t="s">
        <v>5007</v>
      </c>
      <c r="E193" s="595">
        <v>25000000</v>
      </c>
      <c r="F193" s="585">
        <v>50788</v>
      </c>
      <c r="G193" s="134">
        <f t="shared" si="3"/>
        <v>12.550456621004567</v>
      </c>
    </row>
    <row r="194" spans="4:7" ht="12.75" customHeight="1" x14ac:dyDescent="0.25">
      <c r="D194" s="131" t="s">
        <v>5008</v>
      </c>
      <c r="E194" s="595">
        <v>20000000</v>
      </c>
      <c r="F194" s="585">
        <v>53714</v>
      </c>
      <c r="G194" s="134">
        <f t="shared" si="3"/>
        <v>20.561415525114153</v>
      </c>
    </row>
    <row r="195" spans="4:7" ht="12.75" customHeight="1" x14ac:dyDescent="0.25">
      <c r="D195" s="131" t="s">
        <v>5009</v>
      </c>
      <c r="E195" s="595">
        <v>23000000</v>
      </c>
      <c r="F195" s="585">
        <v>56279</v>
      </c>
      <c r="G195" s="134">
        <f t="shared" si="3"/>
        <v>27.583333333333332</v>
      </c>
    </row>
    <row r="196" spans="4:7" ht="12.75" customHeight="1" x14ac:dyDescent="0.25">
      <c r="D196" s="131" t="s">
        <v>5010</v>
      </c>
      <c r="E196" s="595">
        <v>150000000</v>
      </c>
      <c r="F196" s="585">
        <v>48989</v>
      </c>
      <c r="G196" s="134">
        <f t="shared" si="3"/>
        <v>7.622831050228311</v>
      </c>
    </row>
    <row r="197" spans="4:7" ht="12.75" customHeight="1" x14ac:dyDescent="0.25">
      <c r="D197" s="131" t="s">
        <v>5011</v>
      </c>
      <c r="E197" s="595">
        <v>25000000</v>
      </c>
      <c r="F197" s="585">
        <v>48274</v>
      </c>
      <c r="G197" s="134">
        <f t="shared" si="3"/>
        <v>5.6705479452054792</v>
      </c>
    </row>
    <row r="198" spans="4:7" ht="12.75" customHeight="1" x14ac:dyDescent="0.25">
      <c r="D198" s="131" t="s">
        <v>5012</v>
      </c>
      <c r="E198" s="595">
        <v>25000000</v>
      </c>
      <c r="F198" s="585">
        <v>48366</v>
      </c>
      <c r="G198" s="134">
        <f t="shared" si="3"/>
        <v>5.9205479452054792</v>
      </c>
    </row>
    <row r="199" spans="4:7" ht="12.75" customHeight="1" x14ac:dyDescent="0.25">
      <c r="D199" s="131" t="s">
        <v>5013</v>
      </c>
      <c r="E199" s="595">
        <v>25000000</v>
      </c>
      <c r="F199" s="585">
        <v>51571</v>
      </c>
      <c r="G199" s="134">
        <f t="shared" si="3"/>
        <v>14.697945205479453</v>
      </c>
    </row>
    <row r="200" spans="4:7" ht="12.75" customHeight="1" x14ac:dyDescent="0.25">
      <c r="D200" s="131" t="s">
        <v>5014</v>
      </c>
      <c r="E200" s="595">
        <v>25000000</v>
      </c>
      <c r="F200" s="585">
        <v>51936</v>
      </c>
      <c r="G200" s="134">
        <f t="shared" si="3"/>
        <v>15.697945205479453</v>
      </c>
    </row>
    <row r="201" spans="4:7" ht="12.75" customHeight="1" x14ac:dyDescent="0.25">
      <c r="D201" s="131" t="s">
        <v>5015</v>
      </c>
      <c r="E201" s="595">
        <v>15000000</v>
      </c>
      <c r="F201" s="585">
        <v>50938</v>
      </c>
      <c r="G201" s="134">
        <f t="shared" si="3"/>
        <v>12.964383561643835</v>
      </c>
    </row>
    <row r="202" spans="4:7" ht="12.75" customHeight="1" x14ac:dyDescent="0.25">
      <c r="D202" s="131" t="s">
        <v>5016</v>
      </c>
      <c r="E202" s="595">
        <v>15000000</v>
      </c>
      <c r="F202" s="585">
        <v>53160</v>
      </c>
      <c r="G202" s="134">
        <f t="shared" si="3"/>
        <v>19.047716894977167</v>
      </c>
    </row>
    <row r="203" spans="4:7" ht="12.75" customHeight="1" x14ac:dyDescent="0.25">
      <c r="D203" s="131" t="s">
        <v>5017</v>
      </c>
      <c r="E203" s="595">
        <v>15000000</v>
      </c>
      <c r="F203" s="585">
        <v>51701</v>
      </c>
      <c r="G203" s="134">
        <f t="shared" si="3"/>
        <v>15.053196347031964</v>
      </c>
    </row>
    <row r="204" spans="4:7" ht="12.75" customHeight="1" x14ac:dyDescent="0.25">
      <c r="D204" s="131" t="s">
        <v>5018</v>
      </c>
      <c r="E204" s="595">
        <v>15000000</v>
      </c>
      <c r="F204" s="585">
        <v>53181</v>
      </c>
      <c r="G204" s="134">
        <f t="shared" si="3"/>
        <v>19.103652968036531</v>
      </c>
    </row>
    <row r="205" spans="4:7" ht="12.75" customHeight="1" x14ac:dyDescent="0.25">
      <c r="D205" s="131" t="s">
        <v>5019</v>
      </c>
      <c r="E205" s="595">
        <v>151000000</v>
      </c>
      <c r="F205" s="585">
        <v>49186</v>
      </c>
      <c r="G205" s="134">
        <f t="shared" si="3"/>
        <v>8.1666666666666661</v>
      </c>
    </row>
    <row r="206" spans="4:7" ht="12.75" customHeight="1" x14ac:dyDescent="0.25">
      <c r="D206" s="131" t="s">
        <v>5020</v>
      </c>
      <c r="E206" s="595">
        <v>30000000</v>
      </c>
      <c r="F206" s="585">
        <v>51022</v>
      </c>
      <c r="G206" s="134">
        <f t="shared" si="3"/>
        <v>13.192465753424658</v>
      </c>
    </row>
    <row r="207" spans="4:7" ht="12.75" customHeight="1" x14ac:dyDescent="0.25">
      <c r="D207" s="131" t="s">
        <v>5021</v>
      </c>
      <c r="E207" s="595">
        <v>31700000</v>
      </c>
      <c r="F207" s="585">
        <v>49600</v>
      </c>
      <c r="G207" s="134">
        <f t="shared" si="3"/>
        <v>9.3004566210045674</v>
      </c>
    </row>
    <row r="208" spans="4:7" ht="12.75" customHeight="1" x14ac:dyDescent="0.25">
      <c r="D208" s="131" t="s">
        <v>5022</v>
      </c>
      <c r="E208" s="595">
        <v>15000000</v>
      </c>
      <c r="F208" s="585">
        <v>53630</v>
      </c>
      <c r="G208" s="134">
        <f t="shared" si="3"/>
        <v>20.333333333333332</v>
      </c>
    </row>
    <row r="209" spans="4:7" ht="12.75" customHeight="1" x14ac:dyDescent="0.25">
      <c r="D209" s="131" t="s">
        <v>5023</v>
      </c>
      <c r="E209" s="595">
        <v>1000000000</v>
      </c>
      <c r="F209" s="585">
        <v>48880</v>
      </c>
      <c r="G209" s="134">
        <f t="shared" si="3"/>
        <v>7.3278538812785383</v>
      </c>
    </row>
    <row r="210" spans="4:7" ht="12.75" customHeight="1" x14ac:dyDescent="0.25">
      <c r="D210" s="131" t="s">
        <v>5024</v>
      </c>
      <c r="E210" s="595">
        <v>1000000000</v>
      </c>
      <c r="F210" s="585">
        <v>49245</v>
      </c>
      <c r="G210" s="134">
        <f t="shared" si="3"/>
        <v>8.3278538812785392</v>
      </c>
    </row>
    <row r="211" spans="4:7" ht="12.75" customHeight="1" x14ac:dyDescent="0.25">
      <c r="D211" s="131" t="s">
        <v>5025</v>
      </c>
      <c r="E211" s="595">
        <v>1000000000</v>
      </c>
      <c r="F211" s="585">
        <v>48880</v>
      </c>
      <c r="G211" s="134">
        <f t="shared" si="3"/>
        <v>7.3278538812785383</v>
      </c>
    </row>
    <row r="212" spans="4:7" ht="12.75" customHeight="1" x14ac:dyDescent="0.25">
      <c r="D212" s="131" t="s">
        <v>5026</v>
      </c>
      <c r="E212" s="595">
        <v>1000000000</v>
      </c>
      <c r="F212" s="585">
        <v>49245</v>
      </c>
      <c r="G212" s="134">
        <f t="shared" si="3"/>
        <v>8.3278538812785392</v>
      </c>
    </row>
    <row r="213" spans="4:7" ht="12.75" customHeight="1" x14ac:dyDescent="0.25">
      <c r="D213" s="131" t="s">
        <v>5027</v>
      </c>
      <c r="E213" s="595">
        <v>1000000000</v>
      </c>
      <c r="F213" s="585">
        <v>51071</v>
      </c>
      <c r="G213" s="134">
        <f t="shared" si="3"/>
        <v>13.327853881278539</v>
      </c>
    </row>
    <row r="214" spans="4:7" ht="12.75" customHeight="1" x14ac:dyDescent="0.25">
      <c r="D214" s="131" t="s">
        <v>5028</v>
      </c>
      <c r="E214" s="595">
        <v>30000000</v>
      </c>
      <c r="F214" s="585">
        <v>52191</v>
      </c>
      <c r="G214" s="134">
        <f t="shared" si="3"/>
        <v>16.392009132420092</v>
      </c>
    </row>
    <row r="215" spans="4:7" ht="12.75" customHeight="1" x14ac:dyDescent="0.25">
      <c r="D215" s="131" t="s">
        <v>5029</v>
      </c>
      <c r="E215" s="595">
        <v>15000000</v>
      </c>
      <c r="F215" s="585">
        <v>52561</v>
      </c>
      <c r="G215" s="134">
        <f t="shared" si="3"/>
        <v>17.405707762557078</v>
      </c>
    </row>
    <row r="216" spans="4:7" ht="12.75" customHeight="1" x14ac:dyDescent="0.25">
      <c r="D216" s="131" t="s">
        <v>5030</v>
      </c>
      <c r="E216" s="595">
        <v>85000000</v>
      </c>
      <c r="F216" s="585">
        <v>52951</v>
      </c>
      <c r="G216" s="134">
        <f t="shared" si="3"/>
        <v>18.472602739726028</v>
      </c>
    </row>
    <row r="217" spans="4:7" ht="12.75" customHeight="1" x14ac:dyDescent="0.25">
      <c r="D217" s="131" t="s">
        <v>5031</v>
      </c>
      <c r="E217" s="595">
        <v>1165000000</v>
      </c>
      <c r="F217" s="585">
        <v>48432</v>
      </c>
      <c r="G217" s="134">
        <f t="shared" si="3"/>
        <v>6.100913242009133</v>
      </c>
    </row>
    <row r="218" spans="4:7" ht="12.75" customHeight="1" x14ac:dyDescent="0.25">
      <c r="D218" s="131" t="s">
        <v>5032</v>
      </c>
      <c r="E218" s="595">
        <v>1165000000</v>
      </c>
      <c r="F218" s="585">
        <v>49405</v>
      </c>
      <c r="G218" s="134">
        <f t="shared" si="3"/>
        <v>8.7675799086757991</v>
      </c>
    </row>
    <row r="219" spans="4:7" ht="12.75" customHeight="1" x14ac:dyDescent="0.25">
      <c r="D219" s="131" t="s">
        <v>5033</v>
      </c>
      <c r="E219" s="595">
        <v>156000000</v>
      </c>
      <c r="F219" s="585">
        <v>49347</v>
      </c>
      <c r="G219" s="134">
        <f t="shared" si="3"/>
        <v>8.6036529680365295</v>
      </c>
    </row>
    <row r="220" spans="4:7" ht="12.75" customHeight="1" x14ac:dyDescent="0.25">
      <c r="D220" s="131" t="s">
        <v>5034</v>
      </c>
      <c r="E220" s="595">
        <v>50000000</v>
      </c>
      <c r="F220" s="585">
        <v>49366</v>
      </c>
      <c r="G220" s="134">
        <f t="shared" si="3"/>
        <v>8.6557077625570766</v>
      </c>
    </row>
    <row r="221" spans="4:7" ht="12.75" customHeight="1" x14ac:dyDescent="0.25">
      <c r="D221" s="131" t="s">
        <v>5035</v>
      </c>
      <c r="E221" s="595">
        <v>10000000</v>
      </c>
      <c r="F221" s="585">
        <v>53392</v>
      </c>
      <c r="G221" s="134">
        <f t="shared" si="3"/>
        <v>19.684246575342467</v>
      </c>
    </row>
    <row r="222" spans="4:7" ht="12.75" customHeight="1" x14ac:dyDescent="0.25">
      <c r="D222" s="131" t="s">
        <v>5036</v>
      </c>
      <c r="E222" s="595">
        <v>50000000</v>
      </c>
      <c r="F222" s="585">
        <v>49051</v>
      </c>
      <c r="G222" s="134">
        <f t="shared" si="3"/>
        <v>7.7977168949771682</v>
      </c>
    </row>
    <row r="223" spans="4:7" ht="12.75" customHeight="1" x14ac:dyDescent="0.25">
      <c r="D223" s="131" t="s">
        <v>5037</v>
      </c>
      <c r="E223" s="595">
        <v>10000000</v>
      </c>
      <c r="F223" s="585">
        <v>53104</v>
      </c>
      <c r="G223" s="134">
        <f t="shared" si="3"/>
        <v>18.894748858447489</v>
      </c>
    </row>
    <row r="224" spans="4:7" ht="12.75" customHeight="1" x14ac:dyDescent="0.25">
      <c r="D224" s="131" t="s">
        <v>5038</v>
      </c>
      <c r="E224" s="595">
        <v>12000000</v>
      </c>
      <c r="F224" s="585">
        <v>54204</v>
      </c>
      <c r="G224" s="134">
        <f t="shared" si="3"/>
        <v>21.905707762557078</v>
      </c>
    </row>
    <row r="225" spans="4:7" ht="12.75" customHeight="1" x14ac:dyDescent="0.25">
      <c r="D225" s="131" t="s">
        <v>5039</v>
      </c>
      <c r="E225" s="595">
        <v>200000000</v>
      </c>
      <c r="F225" s="585">
        <v>50672</v>
      </c>
      <c r="G225" s="134">
        <f t="shared" si="3"/>
        <v>12.233561643835616</v>
      </c>
    </row>
    <row r="226" spans="4:7" ht="12.75" customHeight="1" x14ac:dyDescent="0.25">
      <c r="D226" s="131" t="s">
        <v>5040</v>
      </c>
      <c r="E226" s="595">
        <v>15000000</v>
      </c>
      <c r="F226" s="585">
        <v>53245</v>
      </c>
      <c r="G226" s="134">
        <f t="shared" si="3"/>
        <v>19.278538812785389</v>
      </c>
    </row>
    <row r="227" spans="4:7" ht="12.75" customHeight="1" x14ac:dyDescent="0.25">
      <c r="D227" s="131" t="s">
        <v>5041</v>
      </c>
      <c r="E227" s="595">
        <v>15000000</v>
      </c>
      <c r="F227" s="585">
        <v>53286</v>
      </c>
      <c r="G227" s="134">
        <f t="shared" si="3"/>
        <v>19.389269406392696</v>
      </c>
    </row>
    <row r="228" spans="4:7" ht="12.75" customHeight="1" x14ac:dyDescent="0.25">
      <c r="D228" s="131" t="s">
        <v>5042</v>
      </c>
      <c r="E228" s="595">
        <v>15000000</v>
      </c>
      <c r="F228" s="585">
        <v>53651</v>
      </c>
      <c r="G228" s="134">
        <f t="shared" si="3"/>
        <v>20.389269406392696</v>
      </c>
    </row>
    <row r="229" spans="4:7" ht="12.75" customHeight="1" x14ac:dyDescent="0.25">
      <c r="D229" s="131" t="s">
        <v>5043</v>
      </c>
      <c r="E229" s="595">
        <v>45000000</v>
      </c>
      <c r="F229" s="585">
        <v>56970</v>
      </c>
      <c r="G229" s="134">
        <f t="shared" si="3"/>
        <v>29.478082191780821</v>
      </c>
    </row>
    <row r="230" spans="4:7" ht="12.75" customHeight="1" x14ac:dyDescent="0.25">
      <c r="D230" s="131" t="s">
        <v>5044</v>
      </c>
      <c r="E230" s="595">
        <v>15000000</v>
      </c>
      <c r="F230" s="585">
        <v>51524</v>
      </c>
      <c r="G230" s="134">
        <f t="shared" si="3"/>
        <v>14.564155251141553</v>
      </c>
    </row>
    <row r="231" spans="4:7" ht="12.75" customHeight="1" x14ac:dyDescent="0.25">
      <c r="D231" s="131" t="s">
        <v>5045</v>
      </c>
      <c r="E231" s="595">
        <v>50000000</v>
      </c>
      <c r="F231" s="585">
        <v>54086</v>
      </c>
      <c r="G231" s="134">
        <f t="shared" si="3"/>
        <v>21.580593607305936</v>
      </c>
    </row>
    <row r="232" spans="4:7" ht="12.75" customHeight="1" x14ac:dyDescent="0.25">
      <c r="D232" s="131" t="s">
        <v>5046</v>
      </c>
      <c r="E232" s="595">
        <v>50000000</v>
      </c>
      <c r="F232" s="585">
        <v>54452</v>
      </c>
      <c r="G232" s="134">
        <f t="shared" si="3"/>
        <v>22.580593607305936</v>
      </c>
    </row>
    <row r="233" spans="4:7" ht="12.75" customHeight="1" x14ac:dyDescent="0.25">
      <c r="D233" s="131" t="s">
        <v>5047</v>
      </c>
      <c r="E233" s="595">
        <v>10000000</v>
      </c>
      <c r="F233" s="585">
        <v>53363</v>
      </c>
      <c r="G233" s="134">
        <f t="shared" si="3"/>
        <v>19.598173515981735</v>
      </c>
    </row>
    <row r="234" spans="4:7" ht="12.75" customHeight="1" x14ac:dyDescent="0.25">
      <c r="D234" s="131" t="s">
        <v>5048</v>
      </c>
      <c r="E234" s="595">
        <v>15000000</v>
      </c>
      <c r="F234" s="585">
        <v>53398</v>
      </c>
      <c r="G234" s="134">
        <f t="shared" ref="G234:G297" si="4">IF(F234&lt;&gt;"",YEAR(F234)-YEAR($G$4)+(MONTH(F234)-MONTH($G$4))/12+(DAY(F234)-DAY($G$4))/365,"")</f>
        <v>19.700684931506849</v>
      </c>
    </row>
    <row r="235" spans="4:7" ht="12.75" customHeight="1" x14ac:dyDescent="0.25">
      <c r="D235" s="131" t="s">
        <v>5049</v>
      </c>
      <c r="E235" s="595">
        <v>15000000</v>
      </c>
      <c r="F235" s="585">
        <v>53399</v>
      </c>
      <c r="G235" s="134">
        <f t="shared" si="4"/>
        <v>19.703424657534246</v>
      </c>
    </row>
    <row r="236" spans="4:7" ht="12.75" customHeight="1" x14ac:dyDescent="0.25">
      <c r="D236" s="131" t="s">
        <v>5050</v>
      </c>
      <c r="E236" s="595">
        <v>11700000</v>
      </c>
      <c r="F236" s="585">
        <v>51578</v>
      </c>
      <c r="G236" s="134">
        <f t="shared" si="4"/>
        <v>14.717123287671233</v>
      </c>
    </row>
    <row r="237" spans="4:7" ht="12.75" customHeight="1" x14ac:dyDescent="0.25">
      <c r="D237" s="131" t="s">
        <v>5051</v>
      </c>
      <c r="E237" s="595">
        <v>15600000</v>
      </c>
      <c r="F237" s="585">
        <v>51580</v>
      </c>
      <c r="G237" s="134">
        <f t="shared" si="4"/>
        <v>14.722602739726028</v>
      </c>
    </row>
    <row r="238" spans="4:7" ht="12.75" customHeight="1" x14ac:dyDescent="0.25">
      <c r="D238" s="131" t="s">
        <v>5052</v>
      </c>
      <c r="E238" s="595">
        <v>10000000</v>
      </c>
      <c r="F238" s="585">
        <v>49765</v>
      </c>
      <c r="G238" s="134">
        <f t="shared" si="4"/>
        <v>9.7527397260273965</v>
      </c>
    </row>
    <row r="239" spans="4:7" ht="12.75" customHeight="1" x14ac:dyDescent="0.25">
      <c r="D239" s="131" t="s">
        <v>5053</v>
      </c>
      <c r="E239" s="595">
        <v>10000000</v>
      </c>
      <c r="F239" s="585">
        <v>51592</v>
      </c>
      <c r="G239" s="134">
        <f t="shared" si="4"/>
        <v>14.753881278538813</v>
      </c>
    </row>
    <row r="240" spans="4:7" ht="12.75" customHeight="1" x14ac:dyDescent="0.25">
      <c r="D240" s="131" t="s">
        <v>5054</v>
      </c>
      <c r="E240" s="595">
        <v>50000000</v>
      </c>
      <c r="F240" s="585">
        <v>53087</v>
      </c>
      <c r="G240" s="134">
        <f t="shared" si="4"/>
        <v>18.848173515981735</v>
      </c>
    </row>
    <row r="241" spans="4:7" ht="12.75" customHeight="1" x14ac:dyDescent="0.25">
      <c r="D241" s="131" t="s">
        <v>5055</v>
      </c>
      <c r="E241" s="595">
        <v>50000000</v>
      </c>
      <c r="F241" s="585">
        <v>53818</v>
      </c>
      <c r="G241" s="134">
        <f t="shared" si="4"/>
        <v>20.850913242009135</v>
      </c>
    </row>
    <row r="242" spans="4:7" ht="12.75" customHeight="1" x14ac:dyDescent="0.25">
      <c r="D242" s="131" t="s">
        <v>5056</v>
      </c>
      <c r="E242" s="595">
        <v>50000000</v>
      </c>
      <c r="F242" s="585">
        <v>54184</v>
      </c>
      <c r="G242" s="134">
        <f t="shared" si="4"/>
        <v>21.850913242009135</v>
      </c>
    </row>
    <row r="243" spans="4:7" ht="12.75" customHeight="1" x14ac:dyDescent="0.25">
      <c r="D243" s="131" t="s">
        <v>5057</v>
      </c>
      <c r="E243" s="595">
        <v>51000000</v>
      </c>
      <c r="F243" s="585">
        <v>53493</v>
      </c>
      <c r="G243" s="134">
        <f t="shared" si="4"/>
        <v>19.958904109589042</v>
      </c>
    </row>
    <row r="244" spans="4:7" ht="12.75" customHeight="1" x14ac:dyDescent="0.25">
      <c r="D244" s="131" t="s">
        <v>5058</v>
      </c>
      <c r="E244" s="595">
        <v>1000000000</v>
      </c>
      <c r="F244" s="585">
        <v>48756</v>
      </c>
      <c r="G244" s="134">
        <f t="shared" si="4"/>
        <v>6.9890410958904106</v>
      </c>
    </row>
    <row r="245" spans="4:7" ht="12.75" customHeight="1" x14ac:dyDescent="0.25">
      <c r="D245" s="131" t="s">
        <v>5059</v>
      </c>
      <c r="E245" s="595">
        <v>1000000000</v>
      </c>
      <c r="F245" s="585">
        <v>49486</v>
      </c>
      <c r="G245" s="134">
        <f t="shared" si="4"/>
        <v>8.9890410958904106</v>
      </c>
    </row>
    <row r="246" spans="4:7" ht="12.75" customHeight="1" x14ac:dyDescent="0.25">
      <c r="D246" s="131"/>
      <c r="E246" s="132"/>
      <c r="F246" s="133"/>
      <c r="G246" s="134" t="str">
        <f t="shared" si="4"/>
        <v/>
      </c>
    </row>
    <row r="247" spans="4:7" ht="12.75" customHeight="1" x14ac:dyDescent="0.25">
      <c r="D247" s="131"/>
      <c r="E247" s="132"/>
      <c r="F247" s="133"/>
      <c r="G247" s="134" t="str">
        <f t="shared" si="4"/>
        <v/>
      </c>
    </row>
    <row r="248" spans="4:7" ht="12.75" customHeight="1" x14ac:dyDescent="0.25">
      <c r="D248" s="131"/>
      <c r="E248" s="132"/>
      <c r="F248" s="133"/>
      <c r="G248" s="134" t="str">
        <f t="shared" si="4"/>
        <v/>
      </c>
    </row>
    <row r="249" spans="4:7" ht="12.75" customHeight="1" x14ac:dyDescent="0.25">
      <c r="D249" s="131"/>
      <c r="E249" s="132"/>
      <c r="F249" s="133"/>
      <c r="G249" s="134" t="str">
        <f t="shared" si="4"/>
        <v/>
      </c>
    </row>
    <row r="250" spans="4:7" ht="12.75" customHeight="1" x14ac:dyDescent="0.25">
      <c r="D250" s="131"/>
      <c r="E250" s="132"/>
      <c r="F250" s="133"/>
      <c r="G250" s="134" t="str">
        <f t="shared" si="4"/>
        <v/>
      </c>
    </row>
    <row r="251" spans="4:7" ht="12.75" customHeight="1" x14ac:dyDescent="0.25">
      <c r="D251" s="131"/>
      <c r="E251" s="132"/>
      <c r="F251" s="133"/>
      <c r="G251" s="134" t="str">
        <f t="shared" si="4"/>
        <v/>
      </c>
    </row>
    <row r="252" spans="4:7" ht="12.75" customHeight="1" x14ac:dyDescent="0.25">
      <c r="D252" s="131"/>
      <c r="E252" s="132"/>
      <c r="F252" s="133"/>
      <c r="G252" s="134" t="str">
        <f t="shared" si="4"/>
        <v/>
      </c>
    </row>
    <row r="253" spans="4:7" ht="12.75" customHeight="1" x14ac:dyDescent="0.25">
      <c r="D253" s="131"/>
      <c r="E253" s="132"/>
      <c r="F253" s="133"/>
      <c r="G253" s="134" t="str">
        <f t="shared" si="4"/>
        <v/>
      </c>
    </row>
    <row r="254" spans="4:7" ht="12.75" customHeight="1" x14ac:dyDescent="0.25">
      <c r="D254" s="131"/>
      <c r="E254" s="132"/>
      <c r="F254" s="133"/>
      <c r="G254" s="134" t="str">
        <f t="shared" si="4"/>
        <v/>
      </c>
    </row>
    <row r="255" spans="4:7" ht="12.75" customHeight="1" x14ac:dyDescent="0.25">
      <c r="D255" s="131"/>
      <c r="E255" s="132"/>
      <c r="F255" s="133"/>
      <c r="G255" s="134" t="str">
        <f t="shared" si="4"/>
        <v/>
      </c>
    </row>
    <row r="256" spans="4:7" ht="12.75" customHeight="1" x14ac:dyDescent="0.25">
      <c r="D256" s="131"/>
      <c r="E256" s="132"/>
      <c r="F256" s="133"/>
      <c r="G256" s="134" t="str">
        <f t="shared" si="4"/>
        <v/>
      </c>
    </row>
    <row r="257" spans="4:7" ht="12.75" customHeight="1" x14ac:dyDescent="0.25">
      <c r="D257" s="131"/>
      <c r="E257" s="132"/>
      <c r="F257" s="133"/>
      <c r="G257" s="134" t="str">
        <f t="shared" si="4"/>
        <v/>
      </c>
    </row>
    <row r="258" spans="4:7" ht="12.75" customHeight="1" x14ac:dyDescent="0.25">
      <c r="D258" s="131"/>
      <c r="E258" s="132"/>
      <c r="F258" s="133"/>
      <c r="G258" s="134" t="str">
        <f t="shared" si="4"/>
        <v/>
      </c>
    </row>
    <row r="259" spans="4:7" ht="12.75" customHeight="1" x14ac:dyDescent="0.25">
      <c r="D259" s="131"/>
      <c r="E259" s="132"/>
      <c r="F259" s="133"/>
      <c r="G259" s="134" t="str">
        <f t="shared" si="4"/>
        <v/>
      </c>
    </row>
    <row r="260" spans="4:7" ht="12.75" customHeight="1" x14ac:dyDescent="0.25">
      <c r="D260" s="131"/>
      <c r="E260" s="132"/>
      <c r="F260" s="133"/>
      <c r="G260" s="134" t="str">
        <f t="shared" si="4"/>
        <v/>
      </c>
    </row>
    <row r="261" spans="4:7" ht="12.75" customHeight="1" x14ac:dyDescent="0.25">
      <c r="D261" s="131"/>
      <c r="E261" s="132"/>
      <c r="F261" s="133"/>
      <c r="G261" s="134" t="str">
        <f t="shared" si="4"/>
        <v/>
      </c>
    </row>
    <row r="262" spans="4:7" ht="12.75" customHeight="1" x14ac:dyDescent="0.25">
      <c r="D262" s="131"/>
      <c r="E262" s="132"/>
      <c r="F262" s="133"/>
      <c r="G262" s="134" t="str">
        <f t="shared" si="4"/>
        <v/>
      </c>
    </row>
    <row r="263" spans="4:7" ht="12.75" customHeight="1" x14ac:dyDescent="0.25">
      <c r="D263" s="131"/>
      <c r="E263" s="132"/>
      <c r="F263" s="133"/>
      <c r="G263" s="134" t="str">
        <f t="shared" si="4"/>
        <v/>
      </c>
    </row>
    <row r="264" spans="4:7" ht="12.75" customHeight="1" x14ac:dyDescent="0.25">
      <c r="D264" s="131"/>
      <c r="E264" s="132"/>
      <c r="F264" s="133"/>
      <c r="G264" s="134" t="str">
        <f t="shared" si="4"/>
        <v/>
      </c>
    </row>
    <row r="265" spans="4:7" ht="12.75" customHeight="1" x14ac:dyDescent="0.25">
      <c r="D265" s="131"/>
      <c r="E265" s="132"/>
      <c r="F265" s="133"/>
      <c r="G265" s="134" t="str">
        <f t="shared" si="4"/>
        <v/>
      </c>
    </row>
    <row r="266" spans="4:7" ht="12.75" customHeight="1" x14ac:dyDescent="0.25">
      <c r="D266" s="131"/>
      <c r="E266" s="132"/>
      <c r="F266" s="133"/>
      <c r="G266" s="134" t="str">
        <f t="shared" si="4"/>
        <v/>
      </c>
    </row>
    <row r="267" spans="4:7" ht="12.75" customHeight="1" x14ac:dyDescent="0.25">
      <c r="D267" s="131"/>
      <c r="E267" s="132"/>
      <c r="F267" s="133"/>
      <c r="G267" s="134" t="str">
        <f t="shared" si="4"/>
        <v/>
      </c>
    </row>
    <row r="268" spans="4:7" ht="12.75" customHeight="1" x14ac:dyDescent="0.25">
      <c r="D268" s="131"/>
      <c r="E268" s="132"/>
      <c r="F268" s="133"/>
      <c r="G268" s="134" t="str">
        <f t="shared" si="4"/>
        <v/>
      </c>
    </row>
    <row r="269" spans="4:7" ht="12.75" customHeight="1" x14ac:dyDescent="0.25">
      <c r="D269" s="131"/>
      <c r="E269" s="132"/>
      <c r="F269" s="133"/>
      <c r="G269" s="134" t="str">
        <f t="shared" si="4"/>
        <v/>
      </c>
    </row>
    <row r="270" spans="4:7" ht="12.75" customHeight="1" x14ac:dyDescent="0.25">
      <c r="D270" s="131"/>
      <c r="E270" s="132"/>
      <c r="F270" s="133"/>
      <c r="G270" s="134" t="str">
        <f t="shared" si="4"/>
        <v/>
      </c>
    </row>
    <row r="271" spans="4:7" ht="12.75" customHeight="1" x14ac:dyDescent="0.25">
      <c r="D271" s="131"/>
      <c r="E271" s="132"/>
      <c r="F271" s="133"/>
      <c r="G271" s="134" t="str">
        <f t="shared" si="4"/>
        <v/>
      </c>
    </row>
    <row r="272" spans="4:7" ht="12.75" customHeight="1" x14ac:dyDescent="0.25">
      <c r="D272" s="131"/>
      <c r="E272" s="132"/>
      <c r="F272" s="133"/>
      <c r="G272" s="134" t="str">
        <f t="shared" si="4"/>
        <v/>
      </c>
    </row>
    <row r="273" spans="4:7" ht="12.75" customHeight="1" x14ac:dyDescent="0.25">
      <c r="D273" s="131"/>
      <c r="E273" s="132"/>
      <c r="F273" s="133"/>
      <c r="G273" s="134" t="str">
        <f t="shared" si="4"/>
        <v/>
      </c>
    </row>
    <row r="274" spans="4:7" ht="12.75" customHeight="1" x14ac:dyDescent="0.25">
      <c r="D274" s="131"/>
      <c r="E274" s="132"/>
      <c r="F274" s="133"/>
      <c r="G274" s="134" t="str">
        <f t="shared" si="4"/>
        <v/>
      </c>
    </row>
    <row r="275" spans="4:7" ht="12.75" customHeight="1" x14ac:dyDescent="0.25">
      <c r="D275" s="131"/>
      <c r="E275" s="132"/>
      <c r="F275" s="133"/>
      <c r="G275" s="134" t="str">
        <f t="shared" si="4"/>
        <v/>
      </c>
    </row>
    <row r="276" spans="4:7" ht="12.75" customHeight="1" x14ac:dyDescent="0.25">
      <c r="D276" s="131"/>
      <c r="E276" s="132"/>
      <c r="F276" s="133"/>
      <c r="G276" s="134" t="str">
        <f t="shared" si="4"/>
        <v/>
      </c>
    </row>
    <row r="277" spans="4:7" ht="12.75" customHeight="1" x14ac:dyDescent="0.25">
      <c r="D277" s="131"/>
      <c r="E277" s="132"/>
      <c r="F277" s="133"/>
      <c r="G277" s="134" t="str">
        <f t="shared" si="4"/>
        <v/>
      </c>
    </row>
    <row r="278" spans="4:7" ht="12.75" customHeight="1" x14ac:dyDescent="0.25">
      <c r="D278" s="131"/>
      <c r="E278" s="132"/>
      <c r="F278" s="133"/>
      <c r="G278" s="134" t="str">
        <f t="shared" si="4"/>
        <v/>
      </c>
    </row>
    <row r="279" spans="4:7" ht="12.75" customHeight="1" x14ac:dyDescent="0.25">
      <c r="D279" s="131"/>
      <c r="E279" s="132"/>
      <c r="F279" s="133"/>
      <c r="G279" s="134" t="str">
        <f t="shared" si="4"/>
        <v/>
      </c>
    </row>
    <row r="280" spans="4:7" ht="12.75" customHeight="1" x14ac:dyDescent="0.25">
      <c r="D280" s="131"/>
      <c r="E280" s="132"/>
      <c r="F280" s="133"/>
      <c r="G280" s="134" t="str">
        <f t="shared" si="4"/>
        <v/>
      </c>
    </row>
    <row r="281" spans="4:7" ht="12.75" customHeight="1" x14ac:dyDescent="0.25">
      <c r="D281" s="131"/>
      <c r="E281" s="132"/>
      <c r="F281" s="133"/>
      <c r="G281" s="134" t="str">
        <f t="shared" si="4"/>
        <v/>
      </c>
    </row>
    <row r="282" spans="4:7" ht="12.75" customHeight="1" x14ac:dyDescent="0.25">
      <c r="D282" s="131"/>
      <c r="E282" s="132"/>
      <c r="F282" s="133"/>
      <c r="G282" s="134" t="str">
        <f t="shared" si="4"/>
        <v/>
      </c>
    </row>
    <row r="283" spans="4:7" ht="12.75" customHeight="1" x14ac:dyDescent="0.25">
      <c r="D283" s="131"/>
      <c r="E283" s="132"/>
      <c r="F283" s="133"/>
      <c r="G283" s="134" t="str">
        <f t="shared" si="4"/>
        <v/>
      </c>
    </row>
    <row r="284" spans="4:7" ht="12.75" customHeight="1" x14ac:dyDescent="0.25">
      <c r="D284" s="131"/>
      <c r="E284" s="132"/>
      <c r="F284" s="133"/>
      <c r="G284" s="134" t="str">
        <f t="shared" si="4"/>
        <v/>
      </c>
    </row>
    <row r="285" spans="4:7" ht="12.75" customHeight="1" x14ac:dyDescent="0.25">
      <c r="D285" s="131"/>
      <c r="E285" s="132"/>
      <c r="F285" s="133"/>
      <c r="G285" s="134" t="str">
        <f t="shared" si="4"/>
        <v/>
      </c>
    </row>
    <row r="286" spans="4:7" ht="12.75" customHeight="1" x14ac:dyDescent="0.25">
      <c r="D286" s="131"/>
      <c r="E286" s="132"/>
      <c r="F286" s="133"/>
      <c r="G286" s="134" t="str">
        <f t="shared" si="4"/>
        <v/>
      </c>
    </row>
    <row r="287" spans="4:7" ht="12.75" customHeight="1" x14ac:dyDescent="0.25">
      <c r="D287" s="131"/>
      <c r="E287" s="132"/>
      <c r="F287" s="133"/>
      <c r="G287" s="134" t="str">
        <f t="shared" si="4"/>
        <v/>
      </c>
    </row>
    <row r="288" spans="4:7" ht="12.75" customHeight="1" x14ac:dyDescent="0.25">
      <c r="D288" s="131"/>
      <c r="E288" s="132"/>
      <c r="F288" s="133"/>
      <c r="G288" s="134" t="str">
        <f t="shared" si="4"/>
        <v/>
      </c>
    </row>
    <row r="289" spans="4:7" ht="12.75" customHeight="1" x14ac:dyDescent="0.25">
      <c r="D289" s="131"/>
      <c r="E289" s="132"/>
      <c r="F289" s="133"/>
      <c r="G289" s="134" t="str">
        <f t="shared" si="4"/>
        <v/>
      </c>
    </row>
    <row r="290" spans="4:7" ht="12.75" customHeight="1" x14ac:dyDescent="0.25">
      <c r="D290" s="131"/>
      <c r="E290" s="132"/>
      <c r="F290" s="133"/>
      <c r="G290" s="134" t="str">
        <f t="shared" si="4"/>
        <v/>
      </c>
    </row>
    <row r="291" spans="4:7" ht="12.75" customHeight="1" x14ac:dyDescent="0.25">
      <c r="D291" s="131"/>
      <c r="E291" s="132"/>
      <c r="F291" s="133"/>
      <c r="G291" s="134" t="str">
        <f t="shared" si="4"/>
        <v/>
      </c>
    </row>
    <row r="292" spans="4:7" ht="12.75" customHeight="1" x14ac:dyDescent="0.25">
      <c r="D292" s="131"/>
      <c r="E292" s="132"/>
      <c r="F292" s="133"/>
      <c r="G292" s="134" t="str">
        <f t="shared" si="4"/>
        <v/>
      </c>
    </row>
    <row r="293" spans="4:7" ht="12.75" customHeight="1" x14ac:dyDescent="0.25">
      <c r="D293" s="131"/>
      <c r="E293" s="132"/>
      <c r="F293" s="133"/>
      <c r="G293" s="134" t="str">
        <f t="shared" si="4"/>
        <v/>
      </c>
    </row>
    <row r="294" spans="4:7" ht="12.75" customHeight="1" x14ac:dyDescent="0.25">
      <c r="D294" s="131"/>
      <c r="E294" s="132"/>
      <c r="F294" s="133"/>
      <c r="G294" s="134" t="str">
        <f t="shared" si="4"/>
        <v/>
      </c>
    </row>
    <row r="295" spans="4:7" ht="12.75" customHeight="1" x14ac:dyDescent="0.25">
      <c r="D295" s="131"/>
      <c r="E295" s="132"/>
      <c r="F295" s="133"/>
      <c r="G295" s="134" t="str">
        <f t="shared" si="4"/>
        <v/>
      </c>
    </row>
    <row r="296" spans="4:7" ht="12.75" customHeight="1" x14ac:dyDescent="0.25">
      <c r="D296" s="131"/>
      <c r="E296" s="132"/>
      <c r="F296" s="133"/>
      <c r="G296" s="134" t="str">
        <f t="shared" si="4"/>
        <v/>
      </c>
    </row>
    <row r="297" spans="4:7" ht="12.75" customHeight="1" x14ac:dyDescent="0.25">
      <c r="D297" s="131"/>
      <c r="E297" s="132"/>
      <c r="F297" s="133"/>
      <c r="G297" s="134" t="str">
        <f t="shared" si="4"/>
        <v/>
      </c>
    </row>
    <row r="298" spans="4:7" ht="12.75" customHeight="1" x14ac:dyDescent="0.25">
      <c r="D298" s="131"/>
      <c r="E298" s="132"/>
      <c r="F298" s="133"/>
      <c r="G298" s="134" t="str">
        <f t="shared" ref="G298:G361" si="5">IF(F298&lt;&gt;"",YEAR(F298)-YEAR($G$4)+(MONTH(F298)-MONTH($G$4))/12+(DAY(F298)-DAY($G$4))/365,"")</f>
        <v/>
      </c>
    </row>
    <row r="299" spans="4:7" ht="12.75" customHeight="1" x14ac:dyDescent="0.25">
      <c r="D299" s="131"/>
      <c r="E299" s="132"/>
      <c r="F299" s="133"/>
      <c r="G299" s="134" t="str">
        <f t="shared" si="5"/>
        <v/>
      </c>
    </row>
    <row r="300" spans="4:7" ht="12.75" customHeight="1" x14ac:dyDescent="0.25">
      <c r="D300" s="131"/>
      <c r="E300" s="132"/>
      <c r="F300" s="133"/>
      <c r="G300" s="134" t="str">
        <f t="shared" si="5"/>
        <v/>
      </c>
    </row>
    <row r="301" spans="4:7" ht="12.75" customHeight="1" x14ac:dyDescent="0.25">
      <c r="D301" s="131"/>
      <c r="E301" s="132"/>
      <c r="F301" s="133"/>
      <c r="G301" s="134" t="str">
        <f t="shared" si="5"/>
        <v/>
      </c>
    </row>
    <row r="302" spans="4:7" ht="12.75" customHeight="1" x14ac:dyDescent="0.25">
      <c r="D302" s="131"/>
      <c r="E302" s="132"/>
      <c r="F302" s="133"/>
      <c r="G302" s="134" t="str">
        <f t="shared" si="5"/>
        <v/>
      </c>
    </row>
    <row r="303" spans="4:7" ht="12.75" customHeight="1" x14ac:dyDescent="0.25">
      <c r="D303" s="131"/>
      <c r="E303" s="132"/>
      <c r="F303" s="133"/>
      <c r="G303" s="134" t="str">
        <f t="shared" si="5"/>
        <v/>
      </c>
    </row>
    <row r="304" spans="4:7" ht="12.75" customHeight="1" x14ac:dyDescent="0.25">
      <c r="D304" s="131"/>
      <c r="E304" s="132"/>
      <c r="F304" s="133"/>
      <c r="G304" s="134" t="str">
        <f t="shared" si="5"/>
        <v/>
      </c>
    </row>
    <row r="305" spans="4:7" ht="12.75" customHeight="1" x14ac:dyDescent="0.25">
      <c r="D305" s="131"/>
      <c r="E305" s="132"/>
      <c r="F305" s="133"/>
      <c r="G305" s="134" t="str">
        <f t="shared" si="5"/>
        <v/>
      </c>
    </row>
    <row r="306" spans="4:7" ht="12.75" customHeight="1" x14ac:dyDescent="0.25">
      <c r="D306" s="131"/>
      <c r="E306" s="132"/>
      <c r="F306" s="133"/>
      <c r="G306" s="134" t="str">
        <f t="shared" si="5"/>
        <v/>
      </c>
    </row>
    <row r="307" spans="4:7" ht="12.75" customHeight="1" x14ac:dyDescent="0.25">
      <c r="D307" s="131"/>
      <c r="E307" s="132"/>
      <c r="F307" s="133"/>
      <c r="G307" s="134" t="str">
        <f t="shared" si="5"/>
        <v/>
      </c>
    </row>
    <row r="308" spans="4:7" ht="12.75" customHeight="1" x14ac:dyDescent="0.25">
      <c r="D308" s="131"/>
      <c r="E308" s="132"/>
      <c r="F308" s="133"/>
      <c r="G308" s="134" t="str">
        <f t="shared" si="5"/>
        <v/>
      </c>
    </row>
    <row r="309" spans="4:7" ht="12.75" customHeight="1" x14ac:dyDescent="0.25">
      <c r="D309" s="131"/>
      <c r="E309" s="132"/>
      <c r="F309" s="133"/>
      <c r="G309" s="134" t="str">
        <f t="shared" si="5"/>
        <v/>
      </c>
    </row>
    <row r="310" spans="4:7" ht="12.75" customHeight="1" x14ac:dyDescent="0.25">
      <c r="D310" s="131"/>
      <c r="E310" s="132"/>
      <c r="F310" s="133"/>
      <c r="G310" s="134" t="str">
        <f t="shared" si="5"/>
        <v/>
      </c>
    </row>
    <row r="311" spans="4:7" ht="12.75" customHeight="1" x14ac:dyDescent="0.25">
      <c r="D311" s="131"/>
      <c r="E311" s="132"/>
      <c r="F311" s="133"/>
      <c r="G311" s="134" t="str">
        <f t="shared" si="5"/>
        <v/>
      </c>
    </row>
    <row r="312" spans="4:7" ht="12.75" customHeight="1" x14ac:dyDescent="0.25">
      <c r="D312" s="131"/>
      <c r="E312" s="132"/>
      <c r="F312" s="133"/>
      <c r="G312" s="134" t="str">
        <f t="shared" si="5"/>
        <v/>
      </c>
    </row>
    <row r="313" spans="4:7" ht="12.75" customHeight="1" x14ac:dyDescent="0.25">
      <c r="D313" s="131"/>
      <c r="E313" s="132"/>
      <c r="F313" s="133"/>
      <c r="G313" s="134" t="str">
        <f t="shared" si="5"/>
        <v/>
      </c>
    </row>
    <row r="314" spans="4:7" ht="12.75" customHeight="1" x14ac:dyDescent="0.25">
      <c r="D314" s="131"/>
      <c r="E314" s="132"/>
      <c r="F314" s="133"/>
      <c r="G314" s="134" t="str">
        <f t="shared" si="5"/>
        <v/>
      </c>
    </row>
    <row r="315" spans="4:7" ht="12.75" customHeight="1" x14ac:dyDescent="0.25">
      <c r="D315" s="131"/>
      <c r="E315" s="132"/>
      <c r="F315" s="133"/>
      <c r="G315" s="134" t="str">
        <f t="shared" si="5"/>
        <v/>
      </c>
    </row>
    <row r="316" spans="4:7" ht="12.75" customHeight="1" x14ac:dyDescent="0.25">
      <c r="D316" s="131"/>
      <c r="E316" s="132"/>
      <c r="F316" s="133"/>
      <c r="G316" s="134" t="str">
        <f t="shared" si="5"/>
        <v/>
      </c>
    </row>
    <row r="317" spans="4:7" ht="12.75" customHeight="1" x14ac:dyDescent="0.25">
      <c r="D317" s="131"/>
      <c r="E317" s="132"/>
      <c r="F317" s="133"/>
      <c r="G317" s="134" t="str">
        <f t="shared" si="5"/>
        <v/>
      </c>
    </row>
    <row r="318" spans="4:7" ht="12.75" customHeight="1" x14ac:dyDescent="0.25">
      <c r="D318" s="131"/>
      <c r="E318" s="132"/>
      <c r="F318" s="133"/>
      <c r="G318" s="134" t="str">
        <f t="shared" si="5"/>
        <v/>
      </c>
    </row>
    <row r="319" spans="4:7" ht="12.75" customHeight="1" x14ac:dyDescent="0.25">
      <c r="D319" s="131"/>
      <c r="E319" s="132"/>
      <c r="F319" s="133"/>
      <c r="G319" s="134" t="str">
        <f t="shared" si="5"/>
        <v/>
      </c>
    </row>
    <row r="320" spans="4:7" ht="12.75" customHeight="1" x14ac:dyDescent="0.25">
      <c r="D320" s="131"/>
      <c r="E320" s="132"/>
      <c r="F320" s="133"/>
      <c r="G320" s="134" t="str">
        <f t="shared" si="5"/>
        <v/>
      </c>
    </row>
    <row r="321" spans="4:7" ht="12.75" customHeight="1" x14ac:dyDescent="0.25">
      <c r="D321" s="131"/>
      <c r="E321" s="132"/>
      <c r="F321" s="133"/>
      <c r="G321" s="134" t="str">
        <f t="shared" si="5"/>
        <v/>
      </c>
    </row>
    <row r="322" spans="4:7" ht="12.75" customHeight="1" x14ac:dyDescent="0.25">
      <c r="D322" s="131"/>
      <c r="E322" s="132"/>
      <c r="F322" s="133"/>
      <c r="G322" s="134" t="str">
        <f t="shared" si="5"/>
        <v/>
      </c>
    </row>
    <row r="323" spans="4:7" ht="12.75" customHeight="1" x14ac:dyDescent="0.25">
      <c r="D323" s="131"/>
      <c r="E323" s="132"/>
      <c r="F323" s="133"/>
      <c r="G323" s="134" t="str">
        <f t="shared" si="5"/>
        <v/>
      </c>
    </row>
    <row r="324" spans="4:7" ht="12.75" customHeight="1" x14ac:dyDescent="0.25">
      <c r="D324" s="131"/>
      <c r="E324" s="132"/>
      <c r="F324" s="133"/>
      <c r="G324" s="134" t="str">
        <f t="shared" si="5"/>
        <v/>
      </c>
    </row>
    <row r="325" spans="4:7" ht="12.75" customHeight="1" x14ac:dyDescent="0.25">
      <c r="D325" s="131"/>
      <c r="E325" s="132"/>
      <c r="F325" s="133"/>
      <c r="G325" s="134" t="str">
        <f t="shared" si="5"/>
        <v/>
      </c>
    </row>
    <row r="326" spans="4:7" ht="12.75" customHeight="1" x14ac:dyDescent="0.25">
      <c r="D326" s="131"/>
      <c r="E326" s="132"/>
      <c r="F326" s="133"/>
      <c r="G326" s="134" t="str">
        <f t="shared" si="5"/>
        <v/>
      </c>
    </row>
    <row r="327" spans="4:7" ht="12.75" customHeight="1" x14ac:dyDescent="0.25">
      <c r="D327" s="131"/>
      <c r="E327" s="132"/>
      <c r="F327" s="133"/>
      <c r="G327" s="134" t="str">
        <f t="shared" si="5"/>
        <v/>
      </c>
    </row>
    <row r="328" spans="4:7" ht="12.75" customHeight="1" x14ac:dyDescent="0.25">
      <c r="D328" s="131"/>
      <c r="E328" s="132"/>
      <c r="F328" s="133"/>
      <c r="G328" s="134" t="str">
        <f t="shared" si="5"/>
        <v/>
      </c>
    </row>
    <row r="329" spans="4:7" ht="12.75" customHeight="1" x14ac:dyDescent="0.25">
      <c r="D329" s="131"/>
      <c r="E329" s="132"/>
      <c r="F329" s="133"/>
      <c r="G329" s="134" t="str">
        <f t="shared" si="5"/>
        <v/>
      </c>
    </row>
    <row r="330" spans="4:7" ht="12.75" customHeight="1" x14ac:dyDescent="0.25">
      <c r="D330" s="131"/>
      <c r="E330" s="132"/>
      <c r="F330" s="133"/>
      <c r="G330" s="134" t="str">
        <f t="shared" si="5"/>
        <v/>
      </c>
    </row>
    <row r="331" spans="4:7" ht="12.75" customHeight="1" x14ac:dyDescent="0.25">
      <c r="D331" s="131"/>
      <c r="E331" s="132"/>
      <c r="F331" s="133"/>
      <c r="G331" s="134" t="str">
        <f t="shared" si="5"/>
        <v/>
      </c>
    </row>
    <row r="332" spans="4:7" ht="12.75" customHeight="1" x14ac:dyDescent="0.25">
      <c r="D332" s="131"/>
      <c r="E332" s="132"/>
      <c r="F332" s="133"/>
      <c r="G332" s="134" t="str">
        <f t="shared" si="5"/>
        <v/>
      </c>
    </row>
    <row r="333" spans="4:7" ht="12.75" customHeight="1" x14ac:dyDescent="0.25">
      <c r="D333" s="131"/>
      <c r="E333" s="132"/>
      <c r="F333" s="133"/>
      <c r="G333" s="134" t="str">
        <f t="shared" si="5"/>
        <v/>
      </c>
    </row>
    <row r="334" spans="4:7" ht="12.75" customHeight="1" x14ac:dyDescent="0.25">
      <c r="D334" s="131"/>
      <c r="E334" s="132"/>
      <c r="F334" s="133"/>
      <c r="G334" s="134" t="str">
        <f t="shared" si="5"/>
        <v/>
      </c>
    </row>
    <row r="335" spans="4:7" ht="12.75" customHeight="1" x14ac:dyDescent="0.25">
      <c r="D335" s="131"/>
      <c r="E335" s="132"/>
      <c r="F335" s="133"/>
      <c r="G335" s="134" t="str">
        <f t="shared" si="5"/>
        <v/>
      </c>
    </row>
    <row r="336" spans="4:7" ht="12.75" customHeight="1" x14ac:dyDescent="0.25">
      <c r="D336" s="131"/>
      <c r="E336" s="132"/>
      <c r="F336" s="133"/>
      <c r="G336" s="134" t="str">
        <f t="shared" si="5"/>
        <v/>
      </c>
    </row>
    <row r="337" spans="4:7" ht="12.75" customHeight="1" x14ac:dyDescent="0.25">
      <c r="D337" s="131"/>
      <c r="E337" s="132"/>
      <c r="F337" s="133"/>
      <c r="G337" s="134" t="str">
        <f t="shared" si="5"/>
        <v/>
      </c>
    </row>
    <row r="338" spans="4:7" ht="12.75" customHeight="1" x14ac:dyDescent="0.25">
      <c r="D338" s="131"/>
      <c r="E338" s="132"/>
      <c r="F338" s="133"/>
      <c r="G338" s="134" t="str">
        <f t="shared" si="5"/>
        <v/>
      </c>
    </row>
    <row r="339" spans="4:7" ht="12.75" customHeight="1" x14ac:dyDescent="0.25">
      <c r="D339" s="131"/>
      <c r="E339" s="132"/>
      <c r="F339" s="133"/>
      <c r="G339" s="134" t="str">
        <f t="shared" si="5"/>
        <v/>
      </c>
    </row>
    <row r="340" spans="4:7" ht="12.75" customHeight="1" x14ac:dyDescent="0.25">
      <c r="D340" s="131"/>
      <c r="E340" s="132"/>
      <c r="F340" s="133"/>
      <c r="G340" s="134" t="str">
        <f t="shared" si="5"/>
        <v/>
      </c>
    </row>
    <row r="341" spans="4:7" ht="12.75" customHeight="1" x14ac:dyDescent="0.25">
      <c r="D341" s="131"/>
      <c r="E341" s="132"/>
      <c r="F341" s="133"/>
      <c r="G341" s="134" t="str">
        <f t="shared" si="5"/>
        <v/>
      </c>
    </row>
    <row r="342" spans="4:7" ht="12.75" customHeight="1" x14ac:dyDescent="0.25">
      <c r="D342" s="131"/>
      <c r="E342" s="132"/>
      <c r="F342" s="133"/>
      <c r="G342" s="134" t="str">
        <f t="shared" si="5"/>
        <v/>
      </c>
    </row>
    <row r="343" spans="4:7" ht="12.75" customHeight="1" x14ac:dyDescent="0.25">
      <c r="D343" s="131"/>
      <c r="E343" s="132"/>
      <c r="F343" s="133"/>
      <c r="G343" s="134" t="str">
        <f t="shared" si="5"/>
        <v/>
      </c>
    </row>
    <row r="344" spans="4:7" ht="12.75" customHeight="1" x14ac:dyDescent="0.25">
      <c r="D344" s="131"/>
      <c r="E344" s="132"/>
      <c r="F344" s="133"/>
      <c r="G344" s="134" t="str">
        <f t="shared" si="5"/>
        <v/>
      </c>
    </row>
    <row r="345" spans="4:7" ht="12.75" customHeight="1" x14ac:dyDescent="0.25">
      <c r="D345" s="131"/>
      <c r="E345" s="132"/>
      <c r="F345" s="133"/>
      <c r="G345" s="134" t="str">
        <f t="shared" si="5"/>
        <v/>
      </c>
    </row>
    <row r="346" spans="4:7" ht="12.75" customHeight="1" x14ac:dyDescent="0.25">
      <c r="D346" s="131"/>
      <c r="E346" s="132"/>
      <c r="F346" s="133"/>
      <c r="G346" s="134" t="str">
        <f t="shared" si="5"/>
        <v/>
      </c>
    </row>
    <row r="347" spans="4:7" ht="12.75" customHeight="1" x14ac:dyDescent="0.25">
      <c r="D347" s="131"/>
      <c r="E347" s="132"/>
      <c r="F347" s="133"/>
      <c r="G347" s="134" t="str">
        <f t="shared" si="5"/>
        <v/>
      </c>
    </row>
    <row r="348" spans="4:7" ht="12.75" customHeight="1" x14ac:dyDescent="0.25">
      <c r="D348" s="131"/>
      <c r="E348" s="132"/>
      <c r="F348" s="133"/>
      <c r="G348" s="134" t="str">
        <f t="shared" si="5"/>
        <v/>
      </c>
    </row>
    <row r="349" spans="4:7" ht="12.75" customHeight="1" x14ac:dyDescent="0.25">
      <c r="D349" s="131"/>
      <c r="E349" s="132"/>
      <c r="F349" s="133"/>
      <c r="G349" s="134" t="str">
        <f t="shared" si="5"/>
        <v/>
      </c>
    </row>
    <row r="350" spans="4:7" ht="12.75" customHeight="1" x14ac:dyDescent="0.25">
      <c r="D350" s="131"/>
      <c r="E350" s="132"/>
      <c r="F350" s="133"/>
      <c r="G350" s="134" t="str">
        <f t="shared" si="5"/>
        <v/>
      </c>
    </row>
    <row r="351" spans="4:7" ht="12.75" customHeight="1" x14ac:dyDescent="0.25">
      <c r="D351" s="131"/>
      <c r="E351" s="132"/>
      <c r="F351" s="133"/>
      <c r="G351" s="134" t="str">
        <f t="shared" si="5"/>
        <v/>
      </c>
    </row>
    <row r="352" spans="4:7" ht="12.75" customHeight="1" x14ac:dyDescent="0.25">
      <c r="D352" s="131"/>
      <c r="E352" s="132"/>
      <c r="F352" s="133"/>
      <c r="G352" s="134" t="str">
        <f t="shared" si="5"/>
        <v/>
      </c>
    </row>
    <row r="353" spans="4:7" ht="12.75" customHeight="1" x14ac:dyDescent="0.25">
      <c r="D353" s="131"/>
      <c r="E353" s="132"/>
      <c r="F353" s="133"/>
      <c r="G353" s="134" t="str">
        <f t="shared" si="5"/>
        <v/>
      </c>
    </row>
    <row r="354" spans="4:7" ht="12.75" customHeight="1" x14ac:dyDescent="0.25">
      <c r="D354" s="131"/>
      <c r="E354" s="132"/>
      <c r="F354" s="133"/>
      <c r="G354" s="134" t="str">
        <f t="shared" si="5"/>
        <v/>
      </c>
    </row>
    <row r="355" spans="4:7" ht="12.75" customHeight="1" x14ac:dyDescent="0.25">
      <c r="D355" s="131"/>
      <c r="E355" s="132"/>
      <c r="F355" s="133"/>
      <c r="G355" s="134" t="str">
        <f t="shared" si="5"/>
        <v/>
      </c>
    </row>
    <row r="356" spans="4:7" ht="12.75" customHeight="1" x14ac:dyDescent="0.25">
      <c r="D356" s="131"/>
      <c r="E356" s="132"/>
      <c r="F356" s="133"/>
      <c r="G356" s="134" t="str">
        <f t="shared" si="5"/>
        <v/>
      </c>
    </row>
    <row r="357" spans="4:7" ht="12.75" customHeight="1" x14ac:dyDescent="0.25">
      <c r="D357" s="131"/>
      <c r="E357" s="132"/>
      <c r="F357" s="133"/>
      <c r="G357" s="134" t="str">
        <f t="shared" si="5"/>
        <v/>
      </c>
    </row>
    <row r="358" spans="4:7" ht="12.75" customHeight="1" x14ac:dyDescent="0.25">
      <c r="D358" s="131"/>
      <c r="E358" s="132"/>
      <c r="F358" s="133"/>
      <c r="G358" s="134" t="str">
        <f t="shared" si="5"/>
        <v/>
      </c>
    </row>
    <row r="359" spans="4:7" ht="12.75" customHeight="1" x14ac:dyDescent="0.25">
      <c r="D359" s="131"/>
      <c r="E359" s="132"/>
      <c r="F359" s="133"/>
      <c r="G359" s="134" t="str">
        <f t="shared" si="5"/>
        <v/>
      </c>
    </row>
    <row r="360" spans="4:7" ht="12.75" customHeight="1" x14ac:dyDescent="0.25">
      <c r="D360" s="131"/>
      <c r="E360" s="132"/>
      <c r="F360" s="133"/>
      <c r="G360" s="134" t="str">
        <f t="shared" si="5"/>
        <v/>
      </c>
    </row>
    <row r="361" spans="4:7" ht="12.75" customHeight="1" x14ac:dyDescent="0.25">
      <c r="D361" s="131"/>
      <c r="E361" s="132"/>
      <c r="F361" s="133"/>
      <c r="G361" s="134" t="str">
        <f t="shared" si="5"/>
        <v/>
      </c>
    </row>
    <row r="362" spans="4:7" ht="12.75" customHeight="1" x14ac:dyDescent="0.25">
      <c r="D362" s="131"/>
      <c r="E362" s="132"/>
      <c r="F362" s="133"/>
      <c r="G362" s="134" t="str">
        <f t="shared" ref="G362:G425" si="6">IF(F362&lt;&gt;"",YEAR(F362)-YEAR($G$4)+(MONTH(F362)-MONTH($G$4))/12+(DAY(F362)-DAY($G$4))/365,"")</f>
        <v/>
      </c>
    </row>
    <row r="363" spans="4:7" ht="12.75" customHeight="1" x14ac:dyDescent="0.25">
      <c r="D363" s="131"/>
      <c r="E363" s="132"/>
      <c r="F363" s="133"/>
      <c r="G363" s="134" t="str">
        <f t="shared" si="6"/>
        <v/>
      </c>
    </row>
    <row r="364" spans="4:7" ht="12.75" customHeight="1" x14ac:dyDescent="0.25">
      <c r="D364" s="131"/>
      <c r="E364" s="132"/>
      <c r="F364" s="133"/>
      <c r="G364" s="134" t="str">
        <f t="shared" si="6"/>
        <v/>
      </c>
    </row>
    <row r="365" spans="4:7" ht="12.75" customHeight="1" x14ac:dyDescent="0.25">
      <c r="D365" s="131"/>
      <c r="E365" s="132"/>
      <c r="F365" s="133"/>
      <c r="G365" s="134" t="str">
        <f t="shared" si="6"/>
        <v/>
      </c>
    </row>
    <row r="366" spans="4:7" ht="12.75" customHeight="1" x14ac:dyDescent="0.25">
      <c r="D366" s="131"/>
      <c r="E366" s="132"/>
      <c r="F366" s="133"/>
      <c r="G366" s="134" t="str">
        <f t="shared" si="6"/>
        <v/>
      </c>
    </row>
    <row r="367" spans="4:7" ht="12.75" customHeight="1" x14ac:dyDescent="0.25">
      <c r="D367" s="131"/>
      <c r="E367" s="132"/>
      <c r="F367" s="133"/>
      <c r="G367" s="134" t="str">
        <f t="shared" si="6"/>
        <v/>
      </c>
    </row>
    <row r="368" spans="4:7" ht="12.75" customHeight="1" x14ac:dyDescent="0.25">
      <c r="D368" s="131"/>
      <c r="E368" s="132"/>
      <c r="F368" s="133"/>
      <c r="G368" s="134" t="str">
        <f t="shared" si="6"/>
        <v/>
      </c>
    </row>
    <row r="369" spans="4:7" ht="12.75" customHeight="1" x14ac:dyDescent="0.25">
      <c r="D369" s="131"/>
      <c r="E369" s="132"/>
      <c r="F369" s="133"/>
      <c r="G369" s="134" t="str">
        <f t="shared" si="6"/>
        <v/>
      </c>
    </row>
    <row r="370" spans="4:7" ht="12.75" customHeight="1" x14ac:dyDescent="0.25">
      <c r="D370" s="131"/>
      <c r="E370" s="132"/>
      <c r="F370" s="133"/>
      <c r="G370" s="134" t="str">
        <f t="shared" si="6"/>
        <v/>
      </c>
    </row>
    <row r="371" spans="4:7" ht="12.75" customHeight="1" x14ac:dyDescent="0.25">
      <c r="D371" s="131"/>
      <c r="E371" s="132"/>
      <c r="F371" s="133"/>
      <c r="G371" s="134" t="str">
        <f t="shared" si="6"/>
        <v/>
      </c>
    </row>
    <row r="372" spans="4:7" ht="12.75" customHeight="1" x14ac:dyDescent="0.25">
      <c r="D372" s="131"/>
      <c r="E372" s="132"/>
      <c r="F372" s="133"/>
      <c r="G372" s="134" t="str">
        <f t="shared" si="6"/>
        <v/>
      </c>
    </row>
    <row r="373" spans="4:7" ht="12.75" customHeight="1" x14ac:dyDescent="0.25">
      <c r="D373" s="131"/>
      <c r="E373" s="132"/>
      <c r="F373" s="133"/>
      <c r="G373" s="134" t="str">
        <f t="shared" si="6"/>
        <v/>
      </c>
    </row>
    <row r="374" spans="4:7" ht="12.75" customHeight="1" x14ac:dyDescent="0.25">
      <c r="D374" s="131"/>
      <c r="E374" s="132"/>
      <c r="F374" s="133"/>
      <c r="G374" s="134" t="str">
        <f t="shared" si="6"/>
        <v/>
      </c>
    </row>
    <row r="375" spans="4:7" ht="12.75" customHeight="1" x14ac:dyDescent="0.25">
      <c r="D375" s="131"/>
      <c r="E375" s="132"/>
      <c r="F375" s="133"/>
      <c r="G375" s="134" t="str">
        <f t="shared" si="6"/>
        <v/>
      </c>
    </row>
    <row r="376" spans="4:7" ht="12.75" customHeight="1" x14ac:dyDescent="0.25">
      <c r="D376" s="131"/>
      <c r="E376" s="132"/>
      <c r="F376" s="133"/>
      <c r="G376" s="134" t="str">
        <f t="shared" si="6"/>
        <v/>
      </c>
    </row>
    <row r="377" spans="4:7" ht="12.75" customHeight="1" x14ac:dyDescent="0.25">
      <c r="D377" s="131"/>
      <c r="E377" s="132"/>
      <c r="F377" s="133"/>
      <c r="G377" s="134" t="str">
        <f t="shared" si="6"/>
        <v/>
      </c>
    </row>
    <row r="378" spans="4:7" ht="12.75" customHeight="1" x14ac:dyDescent="0.25">
      <c r="D378" s="131"/>
      <c r="E378" s="132"/>
      <c r="F378" s="133"/>
      <c r="G378" s="134" t="str">
        <f t="shared" si="6"/>
        <v/>
      </c>
    </row>
    <row r="379" spans="4:7" ht="12.75" customHeight="1" x14ac:dyDescent="0.25">
      <c r="D379" s="131"/>
      <c r="E379" s="132"/>
      <c r="F379" s="133"/>
      <c r="G379" s="134" t="str">
        <f t="shared" si="6"/>
        <v/>
      </c>
    </row>
    <row r="380" spans="4:7" ht="12.75" customHeight="1" x14ac:dyDescent="0.25">
      <c r="D380" s="131"/>
      <c r="E380" s="132"/>
      <c r="F380" s="133"/>
      <c r="G380" s="134" t="str">
        <f t="shared" si="6"/>
        <v/>
      </c>
    </row>
    <row r="381" spans="4:7" ht="12.75" customHeight="1" x14ac:dyDescent="0.25">
      <c r="D381" s="131"/>
      <c r="E381" s="132"/>
      <c r="F381" s="133"/>
      <c r="G381" s="134" t="str">
        <f t="shared" si="6"/>
        <v/>
      </c>
    </row>
    <row r="382" spans="4:7" ht="12.75" customHeight="1" x14ac:dyDescent="0.25">
      <c r="D382" s="131"/>
      <c r="E382" s="132"/>
      <c r="F382" s="133"/>
      <c r="G382" s="134" t="str">
        <f t="shared" si="6"/>
        <v/>
      </c>
    </row>
    <row r="383" spans="4:7" ht="12.75" customHeight="1" x14ac:dyDescent="0.25">
      <c r="D383" s="131"/>
      <c r="E383" s="132"/>
      <c r="F383" s="133"/>
      <c r="G383" s="134" t="str">
        <f t="shared" si="6"/>
        <v/>
      </c>
    </row>
    <row r="384" spans="4:7" ht="12.75" customHeight="1" x14ac:dyDescent="0.25">
      <c r="D384" s="131"/>
      <c r="E384" s="132"/>
      <c r="F384" s="133"/>
      <c r="G384" s="134" t="str">
        <f t="shared" si="6"/>
        <v/>
      </c>
    </row>
    <row r="385" spans="4:7" ht="12.75" customHeight="1" x14ac:dyDescent="0.25">
      <c r="D385" s="131"/>
      <c r="E385" s="132"/>
      <c r="F385" s="133"/>
      <c r="G385" s="134" t="str">
        <f t="shared" si="6"/>
        <v/>
      </c>
    </row>
    <row r="386" spans="4:7" ht="12.75" customHeight="1" x14ac:dyDescent="0.25">
      <c r="D386" s="131"/>
      <c r="E386" s="132"/>
      <c r="F386" s="133"/>
      <c r="G386" s="134" t="str">
        <f t="shared" si="6"/>
        <v/>
      </c>
    </row>
    <row r="387" spans="4:7" ht="12.75" customHeight="1" x14ac:dyDescent="0.25">
      <c r="D387" s="131"/>
      <c r="E387" s="132"/>
      <c r="F387" s="133"/>
      <c r="G387" s="134" t="str">
        <f t="shared" si="6"/>
        <v/>
      </c>
    </row>
    <row r="388" spans="4:7" ht="12.75" customHeight="1" x14ac:dyDescent="0.25">
      <c r="D388" s="131"/>
      <c r="E388" s="132"/>
      <c r="F388" s="133"/>
      <c r="G388" s="134" t="str">
        <f t="shared" si="6"/>
        <v/>
      </c>
    </row>
    <row r="389" spans="4:7" ht="12.75" customHeight="1" x14ac:dyDescent="0.25">
      <c r="D389" s="131"/>
      <c r="E389" s="132"/>
      <c r="F389" s="133"/>
      <c r="G389" s="134" t="str">
        <f t="shared" si="6"/>
        <v/>
      </c>
    </row>
    <row r="390" spans="4:7" ht="12.75" customHeight="1" x14ac:dyDescent="0.25">
      <c r="D390" s="131"/>
      <c r="E390" s="132"/>
      <c r="F390" s="133"/>
      <c r="G390" s="134" t="str">
        <f t="shared" si="6"/>
        <v/>
      </c>
    </row>
    <row r="391" spans="4:7" ht="12.75" customHeight="1" x14ac:dyDescent="0.25">
      <c r="D391" s="131"/>
      <c r="E391" s="132"/>
      <c r="F391" s="133"/>
      <c r="G391" s="134" t="str">
        <f t="shared" si="6"/>
        <v/>
      </c>
    </row>
    <row r="392" spans="4:7" ht="12.75" customHeight="1" x14ac:dyDescent="0.25">
      <c r="D392" s="131"/>
      <c r="E392" s="132"/>
      <c r="F392" s="133"/>
      <c r="G392" s="134" t="str">
        <f t="shared" si="6"/>
        <v/>
      </c>
    </row>
    <row r="393" spans="4:7" ht="12.75" customHeight="1" x14ac:dyDescent="0.25">
      <c r="D393" s="131"/>
      <c r="E393" s="132"/>
      <c r="F393" s="133"/>
      <c r="G393" s="134" t="str">
        <f t="shared" si="6"/>
        <v/>
      </c>
    </row>
    <row r="394" spans="4:7" ht="12.75" customHeight="1" x14ac:dyDescent="0.25">
      <c r="D394" s="131"/>
      <c r="E394" s="132"/>
      <c r="F394" s="133"/>
      <c r="G394" s="134" t="str">
        <f t="shared" si="6"/>
        <v/>
      </c>
    </row>
    <row r="395" spans="4:7" ht="12.75" customHeight="1" x14ac:dyDescent="0.25">
      <c r="D395" s="131"/>
      <c r="E395" s="132"/>
      <c r="F395" s="133"/>
      <c r="G395" s="134" t="str">
        <f t="shared" si="6"/>
        <v/>
      </c>
    </row>
    <row r="396" spans="4:7" ht="12.75" customHeight="1" x14ac:dyDescent="0.25">
      <c r="D396" s="131"/>
      <c r="E396" s="132"/>
      <c r="F396" s="133"/>
      <c r="G396" s="134" t="str">
        <f t="shared" si="6"/>
        <v/>
      </c>
    </row>
    <row r="397" spans="4:7" ht="12.75" customHeight="1" x14ac:dyDescent="0.25">
      <c r="D397" s="131"/>
      <c r="E397" s="132"/>
      <c r="F397" s="133"/>
      <c r="G397" s="134" t="str">
        <f t="shared" si="6"/>
        <v/>
      </c>
    </row>
    <row r="398" spans="4:7" ht="12.75" customHeight="1" x14ac:dyDescent="0.25">
      <c r="D398" s="131"/>
      <c r="E398" s="132"/>
      <c r="F398" s="133"/>
      <c r="G398" s="134" t="str">
        <f t="shared" si="6"/>
        <v/>
      </c>
    </row>
    <row r="399" spans="4:7" ht="12.75" customHeight="1" x14ac:dyDescent="0.25">
      <c r="D399" s="131"/>
      <c r="E399" s="132"/>
      <c r="F399" s="133"/>
      <c r="G399" s="134" t="str">
        <f t="shared" si="6"/>
        <v/>
      </c>
    </row>
    <row r="400" spans="4:7" ht="12.75" customHeight="1" x14ac:dyDescent="0.25">
      <c r="D400" s="131"/>
      <c r="E400" s="132"/>
      <c r="F400" s="133"/>
      <c r="G400" s="134" t="str">
        <f t="shared" si="6"/>
        <v/>
      </c>
    </row>
    <row r="401" spans="4:7" ht="12.75" customHeight="1" x14ac:dyDescent="0.25">
      <c r="D401" s="131"/>
      <c r="E401" s="132"/>
      <c r="F401" s="133"/>
      <c r="G401" s="134" t="str">
        <f t="shared" si="6"/>
        <v/>
      </c>
    </row>
    <row r="402" spans="4:7" ht="12.75" customHeight="1" x14ac:dyDescent="0.25">
      <c r="D402" s="131"/>
      <c r="E402" s="132"/>
      <c r="F402" s="133"/>
      <c r="G402" s="134" t="str">
        <f t="shared" si="6"/>
        <v/>
      </c>
    </row>
    <row r="403" spans="4:7" ht="12.75" customHeight="1" x14ac:dyDescent="0.25">
      <c r="D403" s="131"/>
      <c r="E403" s="132"/>
      <c r="F403" s="133"/>
      <c r="G403" s="134" t="str">
        <f t="shared" si="6"/>
        <v/>
      </c>
    </row>
    <row r="404" spans="4:7" ht="12.75" customHeight="1" x14ac:dyDescent="0.25">
      <c r="D404" s="131"/>
      <c r="E404" s="132"/>
      <c r="F404" s="133"/>
      <c r="G404" s="134" t="str">
        <f t="shared" si="6"/>
        <v/>
      </c>
    </row>
    <row r="405" spans="4:7" ht="12.75" customHeight="1" x14ac:dyDescent="0.25">
      <c r="D405" s="131"/>
      <c r="E405" s="132"/>
      <c r="F405" s="133"/>
      <c r="G405" s="134" t="str">
        <f t="shared" si="6"/>
        <v/>
      </c>
    </row>
    <row r="406" spans="4:7" ht="12.75" customHeight="1" x14ac:dyDescent="0.25">
      <c r="D406" s="131"/>
      <c r="E406" s="132"/>
      <c r="F406" s="133"/>
      <c r="G406" s="134" t="str">
        <f t="shared" si="6"/>
        <v/>
      </c>
    </row>
    <row r="407" spans="4:7" ht="12.75" customHeight="1" x14ac:dyDescent="0.25">
      <c r="D407" s="131"/>
      <c r="E407" s="132"/>
      <c r="F407" s="133"/>
      <c r="G407" s="134" t="str">
        <f t="shared" si="6"/>
        <v/>
      </c>
    </row>
    <row r="408" spans="4:7" ht="12.75" customHeight="1" x14ac:dyDescent="0.25">
      <c r="D408" s="131"/>
      <c r="E408" s="132"/>
      <c r="F408" s="133"/>
      <c r="G408" s="134" t="str">
        <f t="shared" si="6"/>
        <v/>
      </c>
    </row>
    <row r="409" spans="4:7" ht="12.75" customHeight="1" x14ac:dyDescent="0.25">
      <c r="D409" s="131"/>
      <c r="E409" s="132"/>
      <c r="F409" s="133"/>
      <c r="G409" s="134" t="str">
        <f t="shared" si="6"/>
        <v/>
      </c>
    </row>
    <row r="410" spans="4:7" ht="12.75" customHeight="1" x14ac:dyDescent="0.25">
      <c r="D410" s="131"/>
      <c r="E410" s="132"/>
      <c r="F410" s="133"/>
      <c r="G410" s="134" t="str">
        <f t="shared" si="6"/>
        <v/>
      </c>
    </row>
    <row r="411" spans="4:7" ht="12.75" customHeight="1" x14ac:dyDescent="0.25">
      <c r="D411" s="131"/>
      <c r="E411" s="132"/>
      <c r="F411" s="133"/>
      <c r="G411" s="134" t="str">
        <f t="shared" si="6"/>
        <v/>
      </c>
    </row>
    <row r="412" spans="4:7" ht="12.75" customHeight="1" x14ac:dyDescent="0.25">
      <c r="D412" s="131"/>
      <c r="E412" s="132"/>
      <c r="F412" s="133"/>
      <c r="G412" s="134" t="str">
        <f t="shared" si="6"/>
        <v/>
      </c>
    </row>
    <row r="413" spans="4:7" ht="12.75" customHeight="1" x14ac:dyDescent="0.25">
      <c r="D413" s="131"/>
      <c r="E413" s="132"/>
      <c r="F413" s="133"/>
      <c r="G413" s="134" t="str">
        <f t="shared" si="6"/>
        <v/>
      </c>
    </row>
    <row r="414" spans="4:7" ht="12.75" customHeight="1" x14ac:dyDescent="0.25">
      <c r="D414" s="131"/>
      <c r="E414" s="132"/>
      <c r="F414" s="133"/>
      <c r="G414" s="134" t="str">
        <f t="shared" si="6"/>
        <v/>
      </c>
    </row>
    <row r="415" spans="4:7" ht="12.75" customHeight="1" x14ac:dyDescent="0.25">
      <c r="D415" s="131"/>
      <c r="E415" s="132"/>
      <c r="F415" s="133"/>
      <c r="G415" s="134" t="str">
        <f t="shared" si="6"/>
        <v/>
      </c>
    </row>
    <row r="416" spans="4:7" ht="12.75" customHeight="1" x14ac:dyDescent="0.25">
      <c r="D416" s="131"/>
      <c r="E416" s="132"/>
      <c r="F416" s="133"/>
      <c r="G416" s="134" t="str">
        <f t="shared" si="6"/>
        <v/>
      </c>
    </row>
    <row r="417" spans="4:7" ht="12.75" customHeight="1" x14ac:dyDescent="0.25">
      <c r="D417" s="131"/>
      <c r="E417" s="132"/>
      <c r="F417" s="133"/>
      <c r="G417" s="134" t="str">
        <f t="shared" si="6"/>
        <v/>
      </c>
    </row>
    <row r="418" spans="4:7" ht="12.75" customHeight="1" x14ac:dyDescent="0.25">
      <c r="D418" s="131"/>
      <c r="E418" s="132"/>
      <c r="F418" s="133"/>
      <c r="G418" s="134" t="str">
        <f t="shared" si="6"/>
        <v/>
      </c>
    </row>
    <row r="419" spans="4:7" ht="12.75" customHeight="1" x14ac:dyDescent="0.25">
      <c r="D419" s="131"/>
      <c r="E419" s="132"/>
      <c r="F419" s="133"/>
      <c r="G419" s="134" t="str">
        <f t="shared" si="6"/>
        <v/>
      </c>
    </row>
    <row r="420" spans="4:7" ht="12.75" customHeight="1" x14ac:dyDescent="0.25">
      <c r="D420" s="131"/>
      <c r="E420" s="132"/>
      <c r="F420" s="133"/>
      <c r="G420" s="134" t="str">
        <f t="shared" si="6"/>
        <v/>
      </c>
    </row>
    <row r="421" spans="4:7" ht="12.75" customHeight="1" x14ac:dyDescent="0.25">
      <c r="D421" s="131"/>
      <c r="E421" s="132"/>
      <c r="F421" s="133"/>
      <c r="G421" s="134" t="str">
        <f t="shared" si="6"/>
        <v/>
      </c>
    </row>
    <row r="422" spans="4:7" ht="12.75" customHeight="1" x14ac:dyDescent="0.25">
      <c r="D422" s="131"/>
      <c r="E422" s="132"/>
      <c r="F422" s="133"/>
      <c r="G422" s="134" t="str">
        <f t="shared" si="6"/>
        <v/>
      </c>
    </row>
    <row r="423" spans="4:7" ht="12.75" customHeight="1" x14ac:dyDescent="0.25">
      <c r="D423" s="131"/>
      <c r="E423" s="132"/>
      <c r="F423" s="133"/>
      <c r="G423" s="134" t="str">
        <f t="shared" si="6"/>
        <v/>
      </c>
    </row>
    <row r="424" spans="4:7" ht="12.75" customHeight="1" x14ac:dyDescent="0.25">
      <c r="D424" s="131"/>
      <c r="E424" s="132"/>
      <c r="F424" s="133"/>
      <c r="G424" s="134" t="str">
        <f t="shared" si="6"/>
        <v/>
      </c>
    </row>
    <row r="425" spans="4:7" ht="12.75" customHeight="1" x14ac:dyDescent="0.25">
      <c r="D425" s="131"/>
      <c r="E425" s="132"/>
      <c r="F425" s="133"/>
      <c r="G425" s="134" t="str">
        <f t="shared" si="6"/>
        <v/>
      </c>
    </row>
    <row r="426" spans="4:7" ht="12.75" customHeight="1" x14ac:dyDescent="0.25">
      <c r="D426" s="131"/>
      <c r="E426" s="132"/>
      <c r="F426" s="133"/>
      <c r="G426" s="134" t="str">
        <f t="shared" ref="G426:G489" si="7">IF(F426&lt;&gt;"",YEAR(F426)-YEAR($G$4)+(MONTH(F426)-MONTH($G$4))/12+(DAY(F426)-DAY($G$4))/365,"")</f>
        <v/>
      </c>
    </row>
    <row r="427" spans="4:7" ht="12.75" customHeight="1" x14ac:dyDescent="0.25">
      <c r="D427" s="131"/>
      <c r="E427" s="132"/>
      <c r="F427" s="133"/>
      <c r="G427" s="134" t="str">
        <f t="shared" si="7"/>
        <v/>
      </c>
    </row>
    <row r="428" spans="4:7" ht="12.75" customHeight="1" x14ac:dyDescent="0.25">
      <c r="D428" s="131"/>
      <c r="E428" s="132"/>
      <c r="F428" s="133"/>
      <c r="G428" s="134" t="str">
        <f t="shared" si="7"/>
        <v/>
      </c>
    </row>
    <row r="429" spans="4:7" ht="12.75" customHeight="1" x14ac:dyDescent="0.25">
      <c r="D429" s="131"/>
      <c r="E429" s="132"/>
      <c r="F429" s="133"/>
      <c r="G429" s="134" t="str">
        <f t="shared" si="7"/>
        <v/>
      </c>
    </row>
    <row r="430" spans="4:7" ht="12.75" customHeight="1" x14ac:dyDescent="0.25">
      <c r="D430" s="131"/>
      <c r="E430" s="132"/>
      <c r="F430" s="133"/>
      <c r="G430" s="134" t="str">
        <f t="shared" si="7"/>
        <v/>
      </c>
    </row>
    <row r="431" spans="4:7" ht="12.75" customHeight="1" x14ac:dyDescent="0.25">
      <c r="D431" s="131"/>
      <c r="E431" s="132"/>
      <c r="F431" s="133"/>
      <c r="G431" s="134" t="str">
        <f t="shared" si="7"/>
        <v/>
      </c>
    </row>
    <row r="432" spans="4:7" ht="12.75" customHeight="1" x14ac:dyDescent="0.25">
      <c r="D432" s="131"/>
      <c r="E432" s="132"/>
      <c r="F432" s="133"/>
      <c r="G432" s="134" t="str">
        <f t="shared" si="7"/>
        <v/>
      </c>
    </row>
    <row r="433" spans="4:7" ht="12.75" customHeight="1" x14ac:dyDescent="0.25">
      <c r="D433" s="131"/>
      <c r="E433" s="132"/>
      <c r="F433" s="133"/>
      <c r="G433" s="134" t="str">
        <f t="shared" si="7"/>
        <v/>
      </c>
    </row>
    <row r="434" spans="4:7" ht="12.75" customHeight="1" x14ac:dyDescent="0.25">
      <c r="D434" s="131"/>
      <c r="E434" s="132"/>
      <c r="F434" s="133"/>
      <c r="G434" s="134" t="str">
        <f t="shared" si="7"/>
        <v/>
      </c>
    </row>
    <row r="435" spans="4:7" ht="12.75" customHeight="1" x14ac:dyDescent="0.25">
      <c r="D435" s="131"/>
      <c r="E435" s="132"/>
      <c r="F435" s="133"/>
      <c r="G435" s="134" t="str">
        <f t="shared" si="7"/>
        <v/>
      </c>
    </row>
    <row r="436" spans="4:7" ht="12.75" customHeight="1" x14ac:dyDescent="0.25">
      <c r="D436" s="131"/>
      <c r="E436" s="132"/>
      <c r="F436" s="133"/>
      <c r="G436" s="134" t="str">
        <f t="shared" si="7"/>
        <v/>
      </c>
    </row>
    <row r="437" spans="4:7" ht="12.75" customHeight="1" x14ac:dyDescent="0.25">
      <c r="D437" s="131"/>
      <c r="E437" s="132"/>
      <c r="F437" s="133"/>
      <c r="G437" s="134" t="str">
        <f t="shared" si="7"/>
        <v/>
      </c>
    </row>
    <row r="438" spans="4:7" ht="12.75" customHeight="1" x14ac:dyDescent="0.25">
      <c r="D438" s="131"/>
      <c r="E438" s="132"/>
      <c r="F438" s="133"/>
      <c r="G438" s="134" t="str">
        <f t="shared" si="7"/>
        <v/>
      </c>
    </row>
    <row r="439" spans="4:7" ht="12.75" customHeight="1" x14ac:dyDescent="0.25">
      <c r="D439" s="131"/>
      <c r="E439" s="132"/>
      <c r="F439" s="133"/>
      <c r="G439" s="134" t="str">
        <f t="shared" si="7"/>
        <v/>
      </c>
    </row>
    <row r="440" spans="4:7" ht="12.75" customHeight="1" x14ac:dyDescent="0.25">
      <c r="D440" s="131"/>
      <c r="E440" s="132"/>
      <c r="F440" s="133"/>
      <c r="G440" s="134" t="str">
        <f t="shared" si="7"/>
        <v/>
      </c>
    </row>
    <row r="441" spans="4:7" ht="12.75" customHeight="1" x14ac:dyDescent="0.25">
      <c r="D441" s="131"/>
      <c r="E441" s="132"/>
      <c r="F441" s="133"/>
      <c r="G441" s="134" t="str">
        <f t="shared" si="7"/>
        <v/>
      </c>
    </row>
    <row r="442" spans="4:7" ht="12.75" customHeight="1" x14ac:dyDescent="0.25">
      <c r="D442" s="131"/>
      <c r="E442" s="132"/>
      <c r="F442" s="133"/>
      <c r="G442" s="134" t="str">
        <f t="shared" si="7"/>
        <v/>
      </c>
    </row>
    <row r="443" spans="4:7" ht="12.75" customHeight="1" x14ac:dyDescent="0.25">
      <c r="D443" s="131"/>
      <c r="E443" s="132"/>
      <c r="F443" s="133"/>
      <c r="G443" s="134" t="str">
        <f t="shared" si="7"/>
        <v/>
      </c>
    </row>
    <row r="444" spans="4:7" ht="12.75" customHeight="1" x14ac:dyDescent="0.25">
      <c r="D444" s="131"/>
      <c r="E444" s="132"/>
      <c r="F444" s="133"/>
      <c r="G444" s="134" t="str">
        <f t="shared" si="7"/>
        <v/>
      </c>
    </row>
    <row r="445" spans="4:7" ht="12.75" customHeight="1" x14ac:dyDescent="0.25">
      <c r="D445" s="131"/>
      <c r="E445" s="132"/>
      <c r="F445" s="133"/>
      <c r="G445" s="134" t="str">
        <f t="shared" si="7"/>
        <v/>
      </c>
    </row>
    <row r="446" spans="4:7" ht="12.75" customHeight="1" x14ac:dyDescent="0.25">
      <c r="D446" s="131"/>
      <c r="E446" s="132"/>
      <c r="F446" s="133"/>
      <c r="G446" s="134" t="str">
        <f t="shared" si="7"/>
        <v/>
      </c>
    </row>
    <row r="447" spans="4:7" ht="12.75" customHeight="1" x14ac:dyDescent="0.25">
      <c r="D447" s="131"/>
      <c r="E447" s="132"/>
      <c r="F447" s="133"/>
      <c r="G447" s="134" t="str">
        <f t="shared" si="7"/>
        <v/>
      </c>
    </row>
    <row r="448" spans="4:7" ht="12.75" customHeight="1" x14ac:dyDescent="0.25">
      <c r="D448" s="131"/>
      <c r="E448" s="132"/>
      <c r="F448" s="133"/>
      <c r="G448" s="134" t="str">
        <f t="shared" si="7"/>
        <v/>
      </c>
    </row>
    <row r="449" spans="4:7" ht="12.75" customHeight="1" x14ac:dyDescent="0.25">
      <c r="D449" s="131"/>
      <c r="E449" s="132"/>
      <c r="F449" s="133"/>
      <c r="G449" s="134" t="str">
        <f t="shared" si="7"/>
        <v/>
      </c>
    </row>
    <row r="450" spans="4:7" ht="12.75" customHeight="1" x14ac:dyDescent="0.25">
      <c r="D450" s="131"/>
      <c r="E450" s="132"/>
      <c r="F450" s="133"/>
      <c r="G450" s="134" t="str">
        <f t="shared" si="7"/>
        <v/>
      </c>
    </row>
    <row r="451" spans="4:7" ht="12.75" customHeight="1" x14ac:dyDescent="0.25">
      <c r="D451" s="131"/>
      <c r="E451" s="132"/>
      <c r="F451" s="133"/>
      <c r="G451" s="134" t="str">
        <f t="shared" si="7"/>
        <v/>
      </c>
    </row>
    <row r="452" spans="4:7" ht="12.75" customHeight="1" x14ac:dyDescent="0.25">
      <c r="D452" s="131"/>
      <c r="E452" s="132"/>
      <c r="F452" s="133"/>
      <c r="G452" s="134" t="str">
        <f t="shared" si="7"/>
        <v/>
      </c>
    </row>
    <row r="453" spans="4:7" ht="12.75" customHeight="1" x14ac:dyDescent="0.25">
      <c r="D453" s="131"/>
      <c r="E453" s="132"/>
      <c r="F453" s="133"/>
      <c r="G453" s="134" t="str">
        <f t="shared" si="7"/>
        <v/>
      </c>
    </row>
    <row r="454" spans="4:7" ht="12.75" customHeight="1" x14ac:dyDescent="0.25">
      <c r="D454" s="131"/>
      <c r="E454" s="132"/>
      <c r="F454" s="133"/>
      <c r="G454" s="134" t="str">
        <f t="shared" si="7"/>
        <v/>
      </c>
    </row>
    <row r="455" spans="4:7" ht="12.75" customHeight="1" x14ac:dyDescent="0.25">
      <c r="D455" s="131"/>
      <c r="E455" s="132"/>
      <c r="F455" s="133"/>
      <c r="G455" s="134" t="str">
        <f t="shared" si="7"/>
        <v/>
      </c>
    </row>
    <row r="456" spans="4:7" ht="12.75" customHeight="1" x14ac:dyDescent="0.25">
      <c r="D456" s="131"/>
      <c r="E456" s="132"/>
      <c r="F456" s="133"/>
      <c r="G456" s="134" t="str">
        <f t="shared" si="7"/>
        <v/>
      </c>
    </row>
    <row r="457" spans="4:7" ht="12.75" customHeight="1" x14ac:dyDescent="0.25">
      <c r="D457" s="131"/>
      <c r="E457" s="132"/>
      <c r="F457" s="133"/>
      <c r="G457" s="134" t="str">
        <f t="shared" si="7"/>
        <v/>
      </c>
    </row>
    <row r="458" spans="4:7" ht="12.75" customHeight="1" x14ac:dyDescent="0.25">
      <c r="D458" s="131"/>
      <c r="E458" s="132"/>
      <c r="F458" s="133"/>
      <c r="G458" s="134" t="str">
        <f t="shared" si="7"/>
        <v/>
      </c>
    </row>
    <row r="459" spans="4:7" ht="12.75" customHeight="1" x14ac:dyDescent="0.25">
      <c r="D459" s="131"/>
      <c r="E459" s="132"/>
      <c r="F459" s="133"/>
      <c r="G459" s="134" t="str">
        <f t="shared" si="7"/>
        <v/>
      </c>
    </row>
    <row r="460" spans="4:7" ht="12.75" customHeight="1" x14ac:dyDescent="0.25">
      <c r="D460" s="131"/>
      <c r="E460" s="132"/>
      <c r="F460" s="133"/>
      <c r="G460" s="134" t="str">
        <f t="shared" si="7"/>
        <v/>
      </c>
    </row>
    <row r="461" spans="4:7" ht="12.75" customHeight="1" x14ac:dyDescent="0.25">
      <c r="D461" s="131"/>
      <c r="E461" s="132"/>
      <c r="F461" s="133"/>
      <c r="G461" s="134" t="str">
        <f t="shared" si="7"/>
        <v/>
      </c>
    </row>
    <row r="462" spans="4:7" ht="12.75" customHeight="1" x14ac:dyDescent="0.25">
      <c r="D462" s="131"/>
      <c r="E462" s="132"/>
      <c r="F462" s="133"/>
      <c r="G462" s="134" t="str">
        <f t="shared" si="7"/>
        <v/>
      </c>
    </row>
    <row r="463" spans="4:7" ht="12.75" customHeight="1" x14ac:dyDescent="0.25">
      <c r="D463" s="131"/>
      <c r="E463" s="132"/>
      <c r="F463" s="133"/>
      <c r="G463" s="134" t="str">
        <f t="shared" si="7"/>
        <v/>
      </c>
    </row>
    <row r="464" spans="4:7" ht="12.75" customHeight="1" x14ac:dyDescent="0.25">
      <c r="D464" s="131"/>
      <c r="E464" s="132"/>
      <c r="F464" s="133"/>
      <c r="G464" s="134" t="str">
        <f t="shared" si="7"/>
        <v/>
      </c>
    </row>
    <row r="465" spans="4:7" ht="12.75" customHeight="1" x14ac:dyDescent="0.25">
      <c r="D465" s="131"/>
      <c r="E465" s="132"/>
      <c r="F465" s="133"/>
      <c r="G465" s="134" t="str">
        <f t="shared" si="7"/>
        <v/>
      </c>
    </row>
    <row r="466" spans="4:7" ht="12.75" customHeight="1" x14ac:dyDescent="0.25">
      <c r="D466" s="131"/>
      <c r="E466" s="132"/>
      <c r="F466" s="133"/>
      <c r="G466" s="134" t="str">
        <f t="shared" si="7"/>
        <v/>
      </c>
    </row>
    <row r="467" spans="4:7" ht="12.75" customHeight="1" x14ac:dyDescent="0.25">
      <c r="D467" s="131"/>
      <c r="E467" s="132"/>
      <c r="F467" s="133"/>
      <c r="G467" s="134" t="str">
        <f t="shared" si="7"/>
        <v/>
      </c>
    </row>
    <row r="468" spans="4:7" ht="12.75" customHeight="1" x14ac:dyDescent="0.25">
      <c r="D468" s="131"/>
      <c r="E468" s="132"/>
      <c r="F468" s="133"/>
      <c r="G468" s="134" t="str">
        <f t="shared" si="7"/>
        <v/>
      </c>
    </row>
    <row r="469" spans="4:7" ht="12.75" customHeight="1" x14ac:dyDescent="0.25">
      <c r="D469" s="131"/>
      <c r="E469" s="132"/>
      <c r="F469" s="133"/>
      <c r="G469" s="134" t="str">
        <f t="shared" si="7"/>
        <v/>
      </c>
    </row>
    <row r="470" spans="4:7" ht="12.75" customHeight="1" x14ac:dyDescent="0.25">
      <c r="D470" s="131"/>
      <c r="E470" s="132"/>
      <c r="F470" s="133"/>
      <c r="G470" s="134" t="str">
        <f t="shared" si="7"/>
        <v/>
      </c>
    </row>
    <row r="471" spans="4:7" ht="12.75" customHeight="1" x14ac:dyDescent="0.25">
      <c r="D471" s="131"/>
      <c r="E471" s="132"/>
      <c r="F471" s="133"/>
      <c r="G471" s="134" t="str">
        <f t="shared" si="7"/>
        <v/>
      </c>
    </row>
    <row r="472" spans="4:7" ht="12.75" customHeight="1" x14ac:dyDescent="0.25">
      <c r="D472" s="131"/>
      <c r="E472" s="132"/>
      <c r="F472" s="133"/>
      <c r="G472" s="134" t="str">
        <f t="shared" si="7"/>
        <v/>
      </c>
    </row>
    <row r="473" spans="4:7" ht="12.75" customHeight="1" x14ac:dyDescent="0.25">
      <c r="D473" s="131"/>
      <c r="E473" s="132"/>
      <c r="F473" s="133"/>
      <c r="G473" s="134" t="str">
        <f t="shared" si="7"/>
        <v/>
      </c>
    </row>
    <row r="474" spans="4:7" ht="12.75" customHeight="1" x14ac:dyDescent="0.25">
      <c r="D474" s="131"/>
      <c r="E474" s="132"/>
      <c r="F474" s="133"/>
      <c r="G474" s="134" t="str">
        <f t="shared" si="7"/>
        <v/>
      </c>
    </row>
    <row r="475" spans="4:7" ht="12.75" customHeight="1" x14ac:dyDescent="0.25">
      <c r="D475" s="131"/>
      <c r="E475" s="132"/>
      <c r="F475" s="133"/>
      <c r="G475" s="134" t="str">
        <f t="shared" si="7"/>
        <v/>
      </c>
    </row>
    <row r="476" spans="4:7" ht="12.75" customHeight="1" x14ac:dyDescent="0.25">
      <c r="D476" s="131"/>
      <c r="E476" s="132"/>
      <c r="F476" s="133"/>
      <c r="G476" s="134" t="str">
        <f t="shared" si="7"/>
        <v/>
      </c>
    </row>
    <row r="477" spans="4:7" ht="12.75" customHeight="1" x14ac:dyDescent="0.25">
      <c r="D477" s="131"/>
      <c r="E477" s="132"/>
      <c r="F477" s="133"/>
      <c r="G477" s="134" t="str">
        <f t="shared" si="7"/>
        <v/>
      </c>
    </row>
    <row r="478" spans="4:7" ht="12.75" customHeight="1" x14ac:dyDescent="0.25">
      <c r="D478" s="131"/>
      <c r="E478" s="132"/>
      <c r="F478" s="133"/>
      <c r="G478" s="134" t="str">
        <f t="shared" si="7"/>
        <v/>
      </c>
    </row>
    <row r="479" spans="4:7" ht="12.75" customHeight="1" x14ac:dyDescent="0.25">
      <c r="D479" s="131"/>
      <c r="E479" s="132"/>
      <c r="F479" s="133"/>
      <c r="G479" s="134" t="str">
        <f t="shared" si="7"/>
        <v/>
      </c>
    </row>
    <row r="480" spans="4:7" ht="12.75" customHeight="1" x14ac:dyDescent="0.25">
      <c r="D480" s="131"/>
      <c r="E480" s="132"/>
      <c r="F480" s="133"/>
      <c r="G480" s="134" t="str">
        <f t="shared" si="7"/>
        <v/>
      </c>
    </row>
    <row r="481" spans="4:7" ht="12.75" customHeight="1" x14ac:dyDescent="0.25">
      <c r="D481" s="131"/>
      <c r="E481" s="132"/>
      <c r="F481" s="133"/>
      <c r="G481" s="134" t="str">
        <f t="shared" si="7"/>
        <v/>
      </c>
    </row>
    <row r="482" spans="4:7" ht="12.75" customHeight="1" x14ac:dyDescent="0.25">
      <c r="D482" s="131"/>
      <c r="E482" s="132"/>
      <c r="F482" s="133"/>
      <c r="G482" s="134" t="str">
        <f t="shared" si="7"/>
        <v/>
      </c>
    </row>
    <row r="483" spans="4:7" ht="12.75" customHeight="1" x14ac:dyDescent="0.25">
      <c r="D483" s="131"/>
      <c r="E483" s="132"/>
      <c r="F483" s="133"/>
      <c r="G483" s="134" t="str">
        <f t="shared" si="7"/>
        <v/>
      </c>
    </row>
    <row r="484" spans="4:7" ht="12.75" customHeight="1" x14ac:dyDescent="0.25">
      <c r="D484" s="131"/>
      <c r="E484" s="132"/>
      <c r="F484" s="133"/>
      <c r="G484" s="134" t="str">
        <f t="shared" si="7"/>
        <v/>
      </c>
    </row>
    <row r="485" spans="4:7" ht="12.75" customHeight="1" x14ac:dyDescent="0.25">
      <c r="D485" s="131"/>
      <c r="E485" s="132"/>
      <c r="F485" s="133"/>
      <c r="G485" s="134" t="str">
        <f t="shared" si="7"/>
        <v/>
      </c>
    </row>
    <row r="486" spans="4:7" ht="12.75" customHeight="1" x14ac:dyDescent="0.25">
      <c r="D486" s="131"/>
      <c r="E486" s="132"/>
      <c r="F486" s="133"/>
      <c r="G486" s="134" t="str">
        <f t="shared" si="7"/>
        <v/>
      </c>
    </row>
    <row r="487" spans="4:7" ht="12.75" customHeight="1" x14ac:dyDescent="0.25">
      <c r="D487" s="131"/>
      <c r="E487" s="132"/>
      <c r="F487" s="133"/>
      <c r="G487" s="134" t="str">
        <f t="shared" si="7"/>
        <v/>
      </c>
    </row>
    <row r="488" spans="4:7" ht="12.75" customHeight="1" x14ac:dyDescent="0.25">
      <c r="D488" s="131"/>
      <c r="E488" s="132"/>
      <c r="F488" s="133"/>
      <c r="G488" s="134" t="str">
        <f t="shared" si="7"/>
        <v/>
      </c>
    </row>
    <row r="489" spans="4:7" ht="12.75" customHeight="1" x14ac:dyDescent="0.25">
      <c r="D489" s="131"/>
      <c r="E489" s="132"/>
      <c r="F489" s="133"/>
      <c r="G489" s="134" t="str">
        <f t="shared" si="7"/>
        <v/>
      </c>
    </row>
    <row r="490" spans="4:7" ht="12.75" customHeight="1" x14ac:dyDescent="0.25">
      <c r="D490" s="131"/>
      <c r="E490" s="132"/>
      <c r="F490" s="133"/>
      <c r="G490" s="134" t="str">
        <f t="shared" ref="G490:G505" si="8">IF(F490&lt;&gt;"",YEAR(F490)-YEAR($G$4)+(MONTH(F490)-MONTH($G$4))/12+(DAY(F490)-DAY($G$4))/365,"")</f>
        <v/>
      </c>
    </row>
    <row r="491" spans="4:7" ht="12.75" customHeight="1" x14ac:dyDescent="0.25">
      <c r="D491" s="131"/>
      <c r="E491" s="132"/>
      <c r="F491" s="133"/>
      <c r="G491" s="134" t="str">
        <f t="shared" si="8"/>
        <v/>
      </c>
    </row>
    <row r="492" spans="4:7" ht="12.75" customHeight="1" x14ac:dyDescent="0.25">
      <c r="D492" s="131"/>
      <c r="E492" s="132"/>
      <c r="F492" s="133"/>
      <c r="G492" s="134" t="str">
        <f t="shared" si="8"/>
        <v/>
      </c>
    </row>
    <row r="493" spans="4:7" ht="12.75" customHeight="1" x14ac:dyDescent="0.25">
      <c r="D493" s="131"/>
      <c r="E493" s="132"/>
      <c r="F493" s="133"/>
      <c r="G493" s="134" t="str">
        <f t="shared" si="8"/>
        <v/>
      </c>
    </row>
    <row r="494" spans="4:7" ht="12.75" customHeight="1" x14ac:dyDescent="0.25">
      <c r="D494" s="131"/>
      <c r="E494" s="132"/>
      <c r="F494" s="133"/>
      <c r="G494" s="134" t="str">
        <f t="shared" si="8"/>
        <v/>
      </c>
    </row>
    <row r="495" spans="4:7" ht="12.75" customHeight="1" x14ac:dyDescent="0.25">
      <c r="D495" s="131"/>
      <c r="E495" s="132"/>
      <c r="F495" s="133"/>
      <c r="G495" s="134" t="str">
        <f t="shared" si="8"/>
        <v/>
      </c>
    </row>
    <row r="496" spans="4:7" ht="12.75" customHeight="1" x14ac:dyDescent="0.25">
      <c r="D496" s="131"/>
      <c r="E496" s="132"/>
      <c r="F496" s="133"/>
      <c r="G496" s="134" t="str">
        <f t="shared" si="8"/>
        <v/>
      </c>
    </row>
    <row r="497" spans="3:8" ht="12.75" customHeight="1" x14ac:dyDescent="0.25">
      <c r="D497" s="131"/>
      <c r="E497" s="132"/>
      <c r="F497" s="133"/>
      <c r="G497" s="134" t="str">
        <f t="shared" si="8"/>
        <v/>
      </c>
    </row>
    <row r="498" spans="3:8" ht="12.75" customHeight="1" x14ac:dyDescent="0.25">
      <c r="D498" s="131"/>
      <c r="E498" s="132"/>
      <c r="F498" s="133"/>
      <c r="G498" s="134" t="str">
        <f t="shared" si="8"/>
        <v/>
      </c>
    </row>
    <row r="499" spans="3:8" ht="12.75" customHeight="1" x14ac:dyDescent="0.25">
      <c r="D499" s="131"/>
      <c r="E499" s="132"/>
      <c r="F499" s="133"/>
      <c r="G499" s="134" t="str">
        <f t="shared" si="8"/>
        <v/>
      </c>
    </row>
    <row r="500" spans="3:8" ht="12.75" customHeight="1" x14ac:dyDescent="0.25">
      <c r="D500" s="131"/>
      <c r="E500" s="132"/>
      <c r="F500" s="133"/>
      <c r="G500" s="134" t="str">
        <f t="shared" si="8"/>
        <v/>
      </c>
    </row>
    <row r="501" spans="3:8" ht="12.75" customHeight="1" x14ac:dyDescent="0.25">
      <c r="D501" s="131"/>
      <c r="E501" s="132"/>
      <c r="F501" s="133"/>
      <c r="G501" s="134" t="str">
        <f t="shared" si="8"/>
        <v/>
      </c>
    </row>
    <row r="502" spans="3:8" ht="12.75" customHeight="1" x14ac:dyDescent="0.25">
      <c r="D502" s="131"/>
      <c r="E502" s="132"/>
      <c r="F502" s="133"/>
      <c r="G502" s="134" t="str">
        <f t="shared" si="8"/>
        <v/>
      </c>
    </row>
    <row r="503" spans="3:8" ht="12.75" customHeight="1" x14ac:dyDescent="0.25">
      <c r="D503" s="131"/>
      <c r="E503" s="132"/>
      <c r="F503" s="133"/>
      <c r="G503" s="134" t="str">
        <f t="shared" si="8"/>
        <v/>
      </c>
    </row>
    <row r="504" spans="3:8" ht="12.75" customHeight="1" x14ac:dyDescent="0.25">
      <c r="D504" s="131"/>
      <c r="E504" s="132"/>
      <c r="F504" s="133"/>
      <c r="G504" s="134" t="str">
        <f t="shared" si="8"/>
        <v/>
      </c>
    </row>
    <row r="505" spans="3:8" ht="12.75" customHeight="1" x14ac:dyDescent="0.25">
      <c r="D505" s="131"/>
      <c r="E505" s="132"/>
      <c r="F505" s="133"/>
      <c r="G505" s="134" t="str">
        <f t="shared" si="8"/>
        <v/>
      </c>
    </row>
    <row r="506" spans="3:8" ht="12.75" customHeight="1" x14ac:dyDescent="0.25">
      <c r="D506" s="33"/>
      <c r="E506" s="589"/>
      <c r="F506" s="587"/>
      <c r="G506" s="588"/>
    </row>
    <row r="507" spans="3:8" ht="12.75" customHeight="1" x14ac:dyDescent="0.25">
      <c r="D507" s="33"/>
      <c r="E507" s="589"/>
      <c r="F507" s="587"/>
      <c r="G507" s="588"/>
    </row>
    <row r="508" spans="3:8" x14ac:dyDescent="0.25">
      <c r="E508" s="135"/>
      <c r="G508" s="29" t="str">
        <f>IF(F508&lt;&gt;"",YEAR(F508)-YEAR($G$4)+(MONTH(F508)-MONTH($G$4))/12+(DAY(F508)-DAY($G$4))/365,"")</f>
        <v/>
      </c>
    </row>
    <row r="509" spans="3:8" ht="27.75" customHeight="1" x14ac:dyDescent="0.25">
      <c r="C509" s="661" t="s">
        <v>5060</v>
      </c>
      <c r="D509" s="661"/>
      <c r="E509" s="661"/>
      <c r="F509" s="661"/>
      <c r="G509" s="661"/>
      <c r="H509" s="661"/>
    </row>
    <row r="510" spans="3:8" ht="358.5" customHeight="1" x14ac:dyDescent="0.25">
      <c r="C510" s="661" t="s">
        <v>5061</v>
      </c>
      <c r="D510" s="661"/>
      <c r="E510" s="661"/>
      <c r="F510" s="661"/>
      <c r="G510" s="661"/>
      <c r="H510" s="661"/>
    </row>
    <row r="511" spans="3:8" ht="43.5" customHeight="1" x14ac:dyDescent="0.25">
      <c r="C511" s="656" t="s">
        <v>5062</v>
      </c>
      <c r="D511" s="656"/>
      <c r="E511" s="656"/>
      <c r="F511" s="656"/>
      <c r="G511" s="656"/>
      <c r="H511" s="656"/>
    </row>
    <row r="512" spans="3:8" ht="27.75" customHeight="1" x14ac:dyDescent="0.25">
      <c r="C512" s="656" t="s">
        <v>5063</v>
      </c>
      <c r="D512" s="656"/>
      <c r="E512" s="656"/>
      <c r="F512" s="656"/>
      <c r="G512" s="656"/>
      <c r="H512" s="656"/>
    </row>
  </sheetData>
  <mergeCells count="6">
    <mergeCell ref="C512:H512"/>
    <mergeCell ref="B2:H2"/>
    <mergeCell ref="D32:F32"/>
    <mergeCell ref="C509:H509"/>
    <mergeCell ref="C510:H510"/>
    <mergeCell ref="C511:H511"/>
  </mergeCells>
  <conditionalFormatting sqref="G17">
    <cfRule type="cellIs" dxfId="1" priority="1" stopIfTrue="1" operator="equal">
      <formula>"FAIL"</formula>
    </cfRule>
    <cfRule type="cellIs" dxfId="0" priority="2" stopIfTrue="1" operator="equal">
      <formula>"PASS"</formula>
    </cfRule>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8193" r:id="rId4">
          <objectPr defaultSize="0" autoPict="0" r:id="rId5">
            <anchor moveWithCells="1">
              <from>
                <xdr:col>3</xdr:col>
                <xdr:colOff>373380</xdr:colOff>
                <xdr:row>5</xdr:row>
                <xdr:rowOff>160020</xdr:rowOff>
              </from>
              <to>
                <xdr:col>6</xdr:col>
                <xdr:colOff>563880</xdr:colOff>
                <xdr:row>10</xdr:row>
                <xdr:rowOff>137160</xdr:rowOff>
              </to>
            </anchor>
          </objectPr>
        </oleObject>
      </mc:Choice>
      <mc:Fallback>
        <oleObject progId="Equation.3" shapeId="8193"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BD03-5909-4FC2-92F8-47F811E2464B}">
  <sheetPr>
    <tabColor theme="1" tint="0.499984740745262"/>
  </sheetPr>
  <dimension ref="A1:J70"/>
  <sheetViews>
    <sheetView topLeftCell="A37" zoomScale="80" zoomScaleNormal="80" workbookViewId="0">
      <selection activeCell="C29" sqref="C29:H30 C29:H30"/>
    </sheetView>
  </sheetViews>
  <sheetFormatPr baseColWidth="10" defaultColWidth="8.6640625" defaultRowHeight="14.4" x14ac:dyDescent="0.3"/>
  <cols>
    <col min="1" max="1" width="8.6640625" customWidth="1"/>
    <col min="2" max="10" width="28" customWidth="1"/>
    <col min="11" max="11" width="8.6640625" customWidth="1"/>
  </cols>
  <sheetData>
    <row r="1" spans="1:10" ht="15.75" customHeight="1" x14ac:dyDescent="0.3">
      <c r="A1" s="252"/>
    </row>
    <row r="2" spans="1:10" x14ac:dyDescent="0.3">
      <c r="B2" s="1"/>
      <c r="C2" s="2"/>
      <c r="D2" s="2"/>
      <c r="E2" s="2"/>
      <c r="F2" s="2"/>
      <c r="G2" s="2"/>
      <c r="H2" s="2"/>
      <c r="I2" s="2"/>
      <c r="J2" s="3"/>
    </row>
    <row r="3" spans="1:10" x14ac:dyDescent="0.3">
      <c r="B3" s="4"/>
      <c r="C3" s="177"/>
      <c r="D3" s="177"/>
      <c r="E3" s="177"/>
      <c r="F3" s="177"/>
      <c r="G3" s="177"/>
      <c r="H3" s="177"/>
      <c r="I3" s="177"/>
      <c r="J3" s="5"/>
    </row>
    <row r="4" spans="1:10" x14ac:dyDescent="0.3">
      <c r="B4" s="4"/>
      <c r="C4" s="177"/>
      <c r="D4" s="177"/>
      <c r="E4" s="177"/>
      <c r="F4" s="177"/>
      <c r="G4" s="177"/>
      <c r="H4" s="177"/>
      <c r="I4" s="177"/>
      <c r="J4" s="5"/>
    </row>
    <row r="5" spans="1:10" ht="31.5" customHeight="1" x14ac:dyDescent="0.3">
      <c r="B5" s="4"/>
      <c r="C5" s="177"/>
      <c r="D5" s="177"/>
      <c r="E5" s="195"/>
      <c r="F5" s="195" t="s">
        <v>178</v>
      </c>
      <c r="G5" s="195"/>
      <c r="I5" s="195"/>
      <c r="J5" s="5"/>
    </row>
    <row r="6" spans="1:10" x14ac:dyDescent="0.3">
      <c r="B6" s="4"/>
      <c r="C6" s="177"/>
      <c r="D6" s="177"/>
      <c r="E6" s="253"/>
      <c r="F6" s="253"/>
      <c r="G6" s="253"/>
      <c r="I6" s="253"/>
      <c r="J6" s="5"/>
    </row>
    <row r="7" spans="1:10" ht="26.25" customHeight="1" x14ac:dyDescent="0.3">
      <c r="B7" s="4"/>
      <c r="C7" s="177"/>
      <c r="D7" s="177"/>
      <c r="E7" s="247"/>
      <c r="F7" s="247" t="s">
        <v>179</v>
      </c>
      <c r="G7" s="247"/>
      <c r="I7" s="247"/>
      <c r="J7" s="5"/>
    </row>
    <row r="8" spans="1:10" ht="26.25" customHeight="1" x14ac:dyDescent="0.3">
      <c r="B8" s="4"/>
      <c r="C8" s="177"/>
      <c r="D8" s="177"/>
      <c r="E8" s="177"/>
      <c r="F8" s="247"/>
      <c r="G8" s="247"/>
      <c r="H8" s="247"/>
      <c r="I8" s="247"/>
      <c r="J8" s="5"/>
    </row>
    <row r="9" spans="1:10" x14ac:dyDescent="0.3">
      <c r="B9" s="4"/>
      <c r="C9" t="s">
        <v>180</v>
      </c>
      <c r="D9" s="177"/>
      <c r="E9" s="177"/>
      <c r="F9" s="177"/>
      <c r="G9" s="177"/>
      <c r="H9" s="177"/>
      <c r="I9" s="177"/>
      <c r="J9" s="5"/>
    </row>
    <row r="10" spans="1:10" x14ac:dyDescent="0.3">
      <c r="B10" s="4"/>
      <c r="C10" t="s">
        <v>181</v>
      </c>
      <c r="F10" s="177"/>
      <c r="G10" s="177"/>
      <c r="H10" s="177"/>
      <c r="I10" s="177"/>
      <c r="J10" s="5"/>
    </row>
    <row r="11" spans="1:10" x14ac:dyDescent="0.3">
      <c r="B11" s="4"/>
      <c r="C11" t="s">
        <v>182</v>
      </c>
      <c r="D11" s="177"/>
      <c r="E11" s="177"/>
      <c r="F11" s="177"/>
      <c r="G11" s="177"/>
      <c r="H11" s="177"/>
      <c r="I11" s="177"/>
      <c r="J11" s="5"/>
    </row>
    <row r="12" spans="1:10" x14ac:dyDescent="0.3">
      <c r="B12" s="4"/>
      <c r="D12" t="s">
        <v>183</v>
      </c>
      <c r="E12" s="177"/>
      <c r="F12" s="177"/>
      <c r="G12" s="177"/>
      <c r="H12" s="177"/>
      <c r="I12" s="177"/>
      <c r="J12" s="5"/>
    </row>
    <row r="13" spans="1:10" x14ac:dyDescent="0.3">
      <c r="B13" s="4"/>
      <c r="D13" t="s">
        <v>184</v>
      </c>
      <c r="E13" s="177"/>
      <c r="F13" s="177"/>
      <c r="G13" s="177"/>
      <c r="H13" s="177"/>
      <c r="I13" s="177"/>
      <c r="J13" s="5"/>
    </row>
    <row r="14" spans="1:10" x14ac:dyDescent="0.3">
      <c r="B14" s="4"/>
      <c r="D14" t="s">
        <v>185</v>
      </c>
      <c r="E14" s="177"/>
      <c r="F14" s="177"/>
      <c r="G14" s="177"/>
      <c r="H14" s="177"/>
      <c r="I14" s="177"/>
      <c r="J14" s="5"/>
    </row>
    <row r="15" spans="1:10" x14ac:dyDescent="0.3">
      <c r="B15" s="4"/>
      <c r="D15" t="s">
        <v>186</v>
      </c>
      <c r="E15" s="177"/>
      <c r="F15" s="177"/>
      <c r="G15" s="177"/>
      <c r="H15" s="177"/>
      <c r="I15" s="177"/>
      <c r="J15" s="5"/>
    </row>
    <row r="16" spans="1:10" x14ac:dyDescent="0.3">
      <c r="B16" s="155"/>
      <c r="D16" t="s">
        <v>187</v>
      </c>
      <c r="E16" s="177"/>
      <c r="J16" s="156"/>
    </row>
    <row r="17" spans="2:10" x14ac:dyDescent="0.3">
      <c r="B17" s="4"/>
      <c r="C17" t="s">
        <v>188</v>
      </c>
      <c r="F17" s="251"/>
      <c r="G17" s="251"/>
      <c r="H17" s="251"/>
      <c r="I17" s="251"/>
      <c r="J17" s="5"/>
    </row>
    <row r="18" spans="2:10" x14ac:dyDescent="0.3">
      <c r="B18" s="4"/>
      <c r="C18" t="s">
        <v>189</v>
      </c>
      <c r="E18" s="177"/>
      <c r="F18" s="251"/>
      <c r="G18" s="251"/>
      <c r="H18" s="251"/>
      <c r="I18" s="251"/>
      <c r="J18" s="5"/>
    </row>
    <row r="19" spans="2:10" x14ac:dyDescent="0.3">
      <c r="B19" s="4"/>
      <c r="C19" t="s">
        <v>190</v>
      </c>
      <c r="E19" s="177"/>
      <c r="F19" s="251"/>
      <c r="G19" s="251"/>
      <c r="H19" s="251"/>
      <c r="I19" s="251"/>
      <c r="J19" s="5"/>
    </row>
    <row r="20" spans="2:10" x14ac:dyDescent="0.3">
      <c r="B20" s="4"/>
      <c r="D20" t="s">
        <v>191</v>
      </c>
      <c r="E20" s="177"/>
      <c r="F20" s="250"/>
      <c r="G20" s="250"/>
      <c r="H20" s="250"/>
      <c r="I20" s="250"/>
      <c r="J20" s="5"/>
    </row>
    <row r="21" spans="2:10" x14ac:dyDescent="0.3">
      <c r="B21" s="4"/>
      <c r="D21" t="s">
        <v>192</v>
      </c>
      <c r="E21" s="177"/>
      <c r="F21" s="250"/>
      <c r="G21" s="250"/>
      <c r="H21" s="250"/>
      <c r="I21" s="250"/>
      <c r="J21" s="5"/>
    </row>
    <row r="22" spans="2:10" x14ac:dyDescent="0.3">
      <c r="B22" s="4"/>
      <c r="C22" t="s">
        <v>193</v>
      </c>
      <c r="D22" s="177"/>
      <c r="E22" s="177"/>
      <c r="F22" s="250"/>
      <c r="G22" s="250"/>
      <c r="H22" s="250"/>
      <c r="I22" s="250"/>
      <c r="J22" s="5"/>
    </row>
    <row r="23" spans="2:10" x14ac:dyDescent="0.3">
      <c r="B23" s="4"/>
      <c r="D23" t="s">
        <v>194</v>
      </c>
      <c r="F23" s="250"/>
      <c r="G23" s="250"/>
      <c r="H23" s="250"/>
      <c r="I23" s="250"/>
      <c r="J23" s="5"/>
    </row>
    <row r="24" spans="2:10" x14ac:dyDescent="0.3">
      <c r="B24" s="4"/>
      <c r="C24" t="s">
        <v>195</v>
      </c>
      <c r="F24" s="250"/>
      <c r="G24" s="250"/>
      <c r="H24" s="250"/>
      <c r="I24" s="250"/>
      <c r="J24" s="5"/>
    </row>
    <row r="25" spans="2:10" x14ac:dyDescent="0.3">
      <c r="B25" s="4"/>
      <c r="C25" s="616" t="s">
        <v>196</v>
      </c>
      <c r="D25" s="616"/>
      <c r="E25" s="616"/>
      <c r="F25" s="616"/>
      <c r="G25" s="616"/>
      <c r="H25" s="616"/>
      <c r="I25" s="250"/>
      <c r="J25" s="5"/>
    </row>
    <row r="26" spans="2:10" x14ac:dyDescent="0.3">
      <c r="B26" s="4"/>
      <c r="C26" s="616"/>
      <c r="D26" s="616"/>
      <c r="E26" s="616"/>
      <c r="F26" s="616"/>
      <c r="G26" s="616"/>
      <c r="H26" s="616"/>
      <c r="I26" s="250"/>
      <c r="J26" s="5"/>
    </row>
    <row r="27" spans="2:10" x14ac:dyDescent="0.3">
      <c r="B27" s="4"/>
      <c r="C27" s="616" t="s">
        <v>197</v>
      </c>
      <c r="D27" s="616"/>
      <c r="E27" s="616"/>
      <c r="F27" s="616"/>
      <c r="G27" s="616"/>
      <c r="H27" s="616"/>
      <c r="I27" s="250"/>
      <c r="J27" s="5"/>
    </row>
    <row r="28" spans="2:10" x14ac:dyDescent="0.3">
      <c r="B28" s="4"/>
      <c r="C28" s="616"/>
      <c r="D28" s="616"/>
      <c r="E28" s="616"/>
      <c r="F28" s="616"/>
      <c r="G28" s="616"/>
      <c r="H28" s="616"/>
      <c r="I28" s="250"/>
      <c r="J28" s="5"/>
    </row>
    <row r="29" spans="2:10" x14ac:dyDescent="0.3">
      <c r="B29" s="4"/>
      <c r="C29" s="616" t="s">
        <v>198</v>
      </c>
      <c r="D29" s="616"/>
      <c r="E29" s="616"/>
      <c r="F29" s="616"/>
      <c r="G29" s="616"/>
      <c r="H29" s="616"/>
      <c r="I29" s="250"/>
      <c r="J29" s="5"/>
    </row>
    <row r="30" spans="2:10" x14ac:dyDescent="0.3">
      <c r="B30" s="4"/>
      <c r="C30" s="616"/>
      <c r="D30" s="616"/>
      <c r="E30" s="616"/>
      <c r="F30" s="616"/>
      <c r="G30" s="616"/>
      <c r="H30" s="616"/>
      <c r="I30" s="250"/>
      <c r="J30" s="5"/>
    </row>
    <row r="31" spans="2:10" x14ac:dyDescent="0.3">
      <c r="B31" s="4"/>
      <c r="C31" t="s">
        <v>199</v>
      </c>
      <c r="F31" s="250"/>
      <c r="G31" s="250"/>
      <c r="H31" s="250"/>
      <c r="I31" s="250"/>
      <c r="J31" s="5"/>
    </row>
    <row r="32" spans="2:10" x14ac:dyDescent="0.3">
      <c r="B32" s="4"/>
      <c r="D32" t="s">
        <v>200</v>
      </c>
      <c r="F32" s="250"/>
      <c r="G32" s="250"/>
      <c r="H32" s="250"/>
      <c r="I32" s="250"/>
      <c r="J32" s="5"/>
    </row>
    <row r="33" spans="2:10" x14ac:dyDescent="0.3">
      <c r="B33" s="4"/>
      <c r="D33" t="s">
        <v>201</v>
      </c>
      <c r="F33" s="250"/>
      <c r="G33" s="250"/>
      <c r="H33" s="250"/>
      <c r="I33" s="250"/>
      <c r="J33" s="5"/>
    </row>
    <row r="34" spans="2:10" x14ac:dyDescent="0.3">
      <c r="B34" s="4"/>
      <c r="D34" t="s">
        <v>202</v>
      </c>
      <c r="F34" s="250"/>
      <c r="G34" s="250"/>
      <c r="H34" s="250"/>
      <c r="I34" s="250"/>
      <c r="J34" s="5"/>
    </row>
    <row r="35" spans="2:10" x14ac:dyDescent="0.3">
      <c r="B35" s="4"/>
      <c r="F35" s="250"/>
      <c r="G35" s="250"/>
      <c r="H35" s="250"/>
      <c r="I35" s="250"/>
      <c r="J35" s="5"/>
    </row>
    <row r="36" spans="2:10" x14ac:dyDescent="0.3">
      <c r="B36" s="4"/>
      <c r="F36" s="250"/>
      <c r="G36" s="250"/>
      <c r="H36" s="250"/>
      <c r="I36" s="250"/>
      <c r="J36" s="5"/>
    </row>
    <row r="37" spans="2:10" x14ac:dyDescent="0.3">
      <c r="B37" s="4"/>
      <c r="F37" s="250"/>
      <c r="G37" s="250"/>
      <c r="H37" s="250"/>
      <c r="I37" s="250"/>
      <c r="J37" s="5"/>
    </row>
    <row r="38" spans="2:10" x14ac:dyDescent="0.3">
      <c r="B38" s="4"/>
      <c r="F38" s="250"/>
      <c r="G38" s="250"/>
      <c r="H38" s="250"/>
      <c r="I38" s="250"/>
      <c r="J38" s="5"/>
    </row>
    <row r="39" spans="2:10" ht="15.75" customHeight="1" x14ac:dyDescent="0.3">
      <c r="B39" s="6"/>
      <c r="C39" s="157"/>
      <c r="D39" s="157"/>
      <c r="E39" s="7"/>
      <c r="F39" s="7"/>
      <c r="G39" s="7"/>
      <c r="H39" s="7"/>
      <c r="I39" s="7"/>
      <c r="J39" s="8"/>
    </row>
    <row r="40" spans="2:10" ht="15.75" customHeight="1" x14ac:dyDescent="0.3"/>
    <row r="41" spans="2:10" x14ac:dyDescent="0.3">
      <c r="B41" s="1"/>
      <c r="C41" s="2"/>
      <c r="D41" s="2"/>
      <c r="E41" s="2"/>
      <c r="F41" s="2"/>
      <c r="G41" s="2"/>
      <c r="H41" s="2"/>
      <c r="I41" s="2"/>
      <c r="J41" s="3"/>
    </row>
    <row r="42" spans="2:10" x14ac:dyDescent="0.3">
      <c r="B42" s="4"/>
      <c r="C42" s="177"/>
      <c r="D42" s="177"/>
      <c r="E42" s="177"/>
      <c r="F42" s="177"/>
      <c r="G42" s="177"/>
      <c r="H42" s="177"/>
      <c r="I42" s="177"/>
      <c r="J42" s="5"/>
    </row>
    <row r="43" spans="2:10" x14ac:dyDescent="0.3">
      <c r="B43" s="4"/>
      <c r="C43" s="177"/>
      <c r="D43" s="177"/>
      <c r="E43" s="177"/>
      <c r="F43" s="177"/>
      <c r="G43" s="177"/>
      <c r="H43" s="177"/>
      <c r="I43" s="177"/>
      <c r="J43" s="5"/>
    </row>
    <row r="44" spans="2:10" x14ac:dyDescent="0.3">
      <c r="B44" s="4"/>
      <c r="C44" s="177"/>
      <c r="D44" s="177"/>
      <c r="E44" s="177"/>
      <c r="F44" s="177"/>
      <c r="G44" s="177"/>
      <c r="H44" s="177"/>
      <c r="I44" s="177"/>
      <c r="J44" s="5"/>
    </row>
    <row r="45" spans="2:10" x14ac:dyDescent="0.3">
      <c r="B45" s="4"/>
      <c r="C45" s="165" t="s">
        <v>203</v>
      </c>
      <c r="D45" s="177"/>
      <c r="E45" s="177"/>
      <c r="F45" s="254"/>
      <c r="G45" s="177"/>
      <c r="H45" s="177"/>
      <c r="I45" s="177"/>
      <c r="J45" s="5"/>
    </row>
    <row r="46" spans="2:10" x14ac:dyDescent="0.3">
      <c r="B46" s="4"/>
      <c r="C46" s="177"/>
      <c r="D46" s="177"/>
      <c r="E46" s="177"/>
      <c r="G46" s="177"/>
      <c r="H46" s="177"/>
      <c r="I46" s="177"/>
      <c r="J46" s="5"/>
    </row>
    <row r="47" spans="2:10" x14ac:dyDescent="0.3">
      <c r="B47" s="4"/>
      <c r="C47" s="177" t="s">
        <v>204</v>
      </c>
      <c r="D47" s="177"/>
      <c r="E47" s="177"/>
      <c r="F47" s="253"/>
      <c r="G47" s="177" t="s">
        <v>205</v>
      </c>
      <c r="H47" s="253"/>
      <c r="I47" s="253"/>
      <c r="J47" s="5"/>
    </row>
    <row r="48" spans="2:10" x14ac:dyDescent="0.3">
      <c r="B48" s="4"/>
      <c r="C48" s="177" t="s">
        <v>206</v>
      </c>
      <c r="D48" s="177"/>
      <c r="E48" s="177"/>
      <c r="F48" s="253"/>
      <c r="G48" s="177" t="s">
        <v>207</v>
      </c>
      <c r="H48" s="253"/>
      <c r="I48" s="253"/>
      <c r="J48" s="5"/>
    </row>
    <row r="49" spans="2:10" x14ac:dyDescent="0.3">
      <c r="B49" s="4"/>
      <c r="C49" s="177"/>
      <c r="D49" s="177"/>
      <c r="E49" s="177"/>
      <c r="F49" s="253"/>
      <c r="G49" s="177" t="s">
        <v>208</v>
      </c>
      <c r="H49" s="253"/>
      <c r="I49" s="253"/>
      <c r="J49" s="5"/>
    </row>
    <row r="50" spans="2:10" ht="26.25" customHeight="1" x14ac:dyDescent="0.3">
      <c r="B50" s="4"/>
      <c r="C50" s="177"/>
      <c r="D50" s="177"/>
      <c r="E50" s="177"/>
      <c r="F50" s="247"/>
      <c r="G50" s="247"/>
      <c r="H50" s="247"/>
      <c r="I50" s="247"/>
      <c r="J50" s="5"/>
    </row>
    <row r="51" spans="2:10" x14ac:dyDescent="0.3">
      <c r="B51" s="4"/>
      <c r="D51" s="177"/>
      <c r="E51" s="177"/>
      <c r="F51" s="177"/>
      <c r="G51" s="177"/>
      <c r="H51" s="177"/>
      <c r="I51" s="177"/>
      <c r="J51" s="5"/>
    </row>
    <row r="52" spans="2:10" x14ac:dyDescent="0.3">
      <c r="B52" s="4"/>
      <c r="D52" s="177"/>
      <c r="E52" s="177"/>
      <c r="F52" s="177"/>
      <c r="G52" s="177"/>
      <c r="H52" s="177"/>
      <c r="I52" s="177"/>
      <c r="J52" s="5"/>
    </row>
    <row r="53" spans="2:10" x14ac:dyDescent="0.3">
      <c r="B53" s="4"/>
      <c r="E53" s="177"/>
      <c r="F53" s="254"/>
      <c r="G53" s="177"/>
      <c r="H53" s="177"/>
      <c r="I53" s="177"/>
      <c r="J53" s="5"/>
    </row>
    <row r="54" spans="2:10" x14ac:dyDescent="0.3">
      <c r="B54" s="4"/>
      <c r="E54" s="177"/>
      <c r="F54" s="177"/>
      <c r="G54" s="177"/>
      <c r="H54" s="177"/>
      <c r="I54" s="177"/>
      <c r="J54" s="5"/>
    </row>
    <row r="55" spans="2:10" x14ac:dyDescent="0.3">
      <c r="B55" s="4"/>
      <c r="E55" s="177"/>
      <c r="F55" s="177"/>
      <c r="G55" s="177"/>
      <c r="H55" s="177"/>
      <c r="I55" s="177"/>
      <c r="J55" s="5"/>
    </row>
    <row r="56" spans="2:10" x14ac:dyDescent="0.3">
      <c r="B56" s="4"/>
      <c r="E56" s="177"/>
      <c r="F56" s="177"/>
      <c r="G56" s="177"/>
      <c r="H56" s="177"/>
      <c r="I56" s="177"/>
      <c r="J56" s="5"/>
    </row>
    <row r="57" spans="2:10" x14ac:dyDescent="0.3">
      <c r="B57" s="4"/>
      <c r="E57" s="177"/>
      <c r="F57" s="177"/>
      <c r="G57" s="177"/>
      <c r="H57" s="177"/>
      <c r="I57" s="177"/>
      <c r="J57" s="5"/>
    </row>
    <row r="58" spans="2:10" x14ac:dyDescent="0.3">
      <c r="B58" s="155"/>
      <c r="J58" s="156"/>
    </row>
    <row r="59" spans="2:10" x14ac:dyDescent="0.3">
      <c r="B59" s="4"/>
      <c r="D59" s="177"/>
      <c r="E59" s="177"/>
      <c r="F59" s="177"/>
      <c r="G59" s="177"/>
      <c r="H59" s="177"/>
      <c r="I59" s="177"/>
      <c r="J59" s="5"/>
    </row>
    <row r="60" spans="2:10" x14ac:dyDescent="0.3">
      <c r="B60" s="4"/>
      <c r="E60" s="177"/>
      <c r="F60" s="251"/>
      <c r="G60" s="251"/>
      <c r="H60" s="251"/>
      <c r="I60" s="251"/>
      <c r="J60" s="5"/>
    </row>
    <row r="61" spans="2:10" x14ac:dyDescent="0.3">
      <c r="B61" s="4"/>
      <c r="E61" s="177"/>
      <c r="F61" s="251"/>
      <c r="G61" s="251"/>
      <c r="H61" s="251"/>
      <c r="I61" s="251"/>
      <c r="J61" s="5"/>
    </row>
    <row r="62" spans="2:10" x14ac:dyDescent="0.3">
      <c r="B62" s="4"/>
      <c r="D62" s="177"/>
      <c r="E62" s="177"/>
      <c r="F62" s="250"/>
      <c r="G62" s="250"/>
      <c r="H62" s="250"/>
      <c r="I62" s="250"/>
      <c r="J62" s="5"/>
    </row>
    <row r="63" spans="2:10" x14ac:dyDescent="0.3">
      <c r="B63" s="4"/>
      <c r="D63" s="177"/>
      <c r="E63" s="177"/>
      <c r="F63" s="250"/>
      <c r="G63" s="250"/>
      <c r="H63" s="250"/>
      <c r="I63" s="250"/>
      <c r="J63" s="5"/>
    </row>
    <row r="64" spans="2:10" x14ac:dyDescent="0.3">
      <c r="B64" s="4"/>
      <c r="D64" s="177"/>
      <c r="E64" s="177"/>
      <c r="F64" s="250"/>
      <c r="G64" s="250"/>
      <c r="H64" s="250"/>
      <c r="I64" s="250"/>
      <c r="J64" s="5"/>
    </row>
    <row r="65" spans="2:10" x14ac:dyDescent="0.3">
      <c r="B65" s="4"/>
      <c r="D65" s="177"/>
      <c r="E65" s="177"/>
      <c r="F65" s="250"/>
      <c r="G65" s="250"/>
      <c r="H65" s="250"/>
      <c r="I65" s="250"/>
      <c r="J65" s="5"/>
    </row>
    <row r="66" spans="2:10" x14ac:dyDescent="0.3">
      <c r="B66" s="4"/>
      <c r="D66" s="177"/>
      <c r="E66" s="177"/>
      <c r="F66" s="250"/>
      <c r="G66" s="250"/>
      <c r="H66" s="250"/>
      <c r="I66" s="250"/>
      <c r="J66" s="5"/>
    </row>
    <row r="67" spans="2:10" x14ac:dyDescent="0.3">
      <c r="B67" s="4"/>
      <c r="D67" s="177"/>
      <c r="E67" s="177"/>
      <c r="F67" s="250"/>
      <c r="G67" s="250"/>
      <c r="H67" s="250"/>
      <c r="I67" s="250"/>
      <c r="J67" s="5"/>
    </row>
    <row r="68" spans="2:10" x14ac:dyDescent="0.3">
      <c r="B68" s="4"/>
      <c r="D68" s="177"/>
      <c r="E68" s="177"/>
      <c r="F68" s="250"/>
      <c r="G68" s="250"/>
      <c r="H68" s="250"/>
      <c r="I68" s="250"/>
      <c r="J68" s="5"/>
    </row>
    <row r="69" spans="2:10" x14ac:dyDescent="0.3">
      <c r="B69" s="4"/>
      <c r="E69" s="177"/>
      <c r="F69" s="250"/>
      <c r="G69" s="250"/>
      <c r="H69" s="250"/>
      <c r="I69" s="250"/>
      <c r="J69" s="5"/>
    </row>
    <row r="70" spans="2:10" ht="15.75" customHeight="1" x14ac:dyDescent="0.3">
      <c r="B70" s="6"/>
      <c r="C70" s="157"/>
      <c r="D70" s="157"/>
      <c r="E70" s="157"/>
      <c r="F70" s="158"/>
      <c r="G70" s="158"/>
      <c r="H70" s="158"/>
      <c r="I70" s="158"/>
      <c r="J70" s="8"/>
    </row>
  </sheetData>
  <mergeCells count="3">
    <mergeCell ref="C25:H26"/>
    <mergeCell ref="C27:H28"/>
    <mergeCell ref="C29:H3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36-B325-47EF-A929-1654DC498FB0}">
  <dimension ref="A1:AE36"/>
  <sheetViews>
    <sheetView topLeftCell="A26" zoomScale="80" zoomScaleNormal="80" workbookViewId="0">
      <selection activeCell="C44" sqref="C44"/>
    </sheetView>
  </sheetViews>
  <sheetFormatPr baseColWidth="10" defaultColWidth="9.33203125" defaultRowHeight="14.4" x14ac:dyDescent="0.3"/>
  <cols>
    <col min="1" max="1" width="4.6640625" style="169" customWidth="1"/>
    <col min="2" max="2" width="16.6640625" style="161" bestFit="1" customWidth="1"/>
    <col min="3" max="3" width="162.44140625" style="162" customWidth="1"/>
    <col min="4" max="31" width="9.33203125" style="159" customWidth="1"/>
    <col min="32" max="246" width="9.33203125" customWidth="1"/>
    <col min="247" max="247" width="4.6640625" customWidth="1"/>
    <col min="248" max="248" width="16.6640625" bestFit="1" customWidth="1"/>
    <col min="249" max="249" width="127.5546875" customWidth="1"/>
    <col min="250" max="250" width="46.6640625" customWidth="1"/>
    <col min="251" max="251" width="9.33203125" customWidth="1"/>
  </cols>
  <sheetData>
    <row r="1" spans="1:31" ht="31.5" customHeight="1" x14ac:dyDescent="0.6">
      <c r="A1" s="617" t="s">
        <v>209</v>
      </c>
      <c r="B1" s="618"/>
      <c r="C1" s="618"/>
    </row>
    <row r="2" spans="1:31" ht="31.5" customHeight="1" x14ac:dyDescent="0.6">
      <c r="A2" s="255" t="s">
        <v>179</v>
      </c>
      <c r="B2" s="160"/>
      <c r="C2" s="160"/>
    </row>
    <row r="3" spans="1:31" x14ac:dyDescent="0.3">
      <c r="A3" s="252"/>
    </row>
    <row r="4" spans="1:31" s="165" customFormat="1" ht="18.75" customHeight="1" x14ac:dyDescent="0.3">
      <c r="A4" s="163"/>
      <c r="B4" s="256"/>
      <c r="C4" s="257" t="s">
        <v>210</v>
      </c>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row>
    <row r="5" spans="1:31" ht="18.75" customHeight="1" x14ac:dyDescent="0.3">
      <c r="A5" s="258" t="s">
        <v>211</v>
      </c>
      <c r="B5" s="259"/>
      <c r="C5" s="260"/>
    </row>
    <row r="6" spans="1:31" ht="14.7" customHeight="1" x14ac:dyDescent="0.3">
      <c r="A6" s="261" t="s">
        <v>212</v>
      </c>
      <c r="B6" s="261"/>
      <c r="C6" s="262"/>
    </row>
    <row r="7" spans="1:31" ht="60" customHeight="1" x14ac:dyDescent="0.3">
      <c r="A7" s="166"/>
      <c r="B7" s="263" t="s">
        <v>213</v>
      </c>
      <c r="C7" s="167" t="s">
        <v>214</v>
      </c>
    </row>
    <row r="8" spans="1:31" ht="14.7" customHeight="1" x14ac:dyDescent="0.3">
      <c r="A8" s="261" t="s">
        <v>215</v>
      </c>
      <c r="B8" s="261"/>
      <c r="C8" s="262"/>
    </row>
    <row r="9" spans="1:31" x14ac:dyDescent="0.3">
      <c r="A9" s="168"/>
      <c r="B9" s="263" t="s">
        <v>216</v>
      </c>
      <c r="C9" s="226" t="s">
        <v>217</v>
      </c>
    </row>
    <row r="10" spans="1:31" ht="14.7" customHeight="1" x14ac:dyDescent="0.3">
      <c r="A10" s="261" t="s">
        <v>218</v>
      </c>
      <c r="B10" s="261"/>
      <c r="C10" s="262"/>
    </row>
    <row r="11" spans="1:31" ht="23.25" customHeight="1" x14ac:dyDescent="0.3">
      <c r="A11" s="168"/>
      <c r="B11" s="263" t="s">
        <v>219</v>
      </c>
      <c r="C11" s="226" t="s">
        <v>220</v>
      </c>
    </row>
    <row r="12" spans="1:31" ht="14.7" customHeight="1" x14ac:dyDescent="0.3">
      <c r="A12" s="261" t="s">
        <v>221</v>
      </c>
      <c r="B12" s="261"/>
      <c r="C12" s="262"/>
    </row>
    <row r="13" spans="1:31" ht="30" customHeight="1" x14ac:dyDescent="0.3">
      <c r="A13" s="166"/>
      <c r="B13" s="263" t="s">
        <v>222</v>
      </c>
      <c r="C13" s="167" t="s">
        <v>223</v>
      </c>
    </row>
    <row r="14" spans="1:31" ht="14.7" customHeight="1" x14ac:dyDescent="0.3">
      <c r="A14" s="261" t="s">
        <v>224</v>
      </c>
      <c r="B14" s="261"/>
      <c r="C14" s="262"/>
    </row>
    <row r="15" spans="1:31" ht="38.25" customHeight="1" x14ac:dyDescent="0.3">
      <c r="A15" s="166"/>
      <c r="B15" s="263" t="s">
        <v>225</v>
      </c>
      <c r="C15" s="226" t="s">
        <v>226</v>
      </c>
    </row>
    <row r="16" spans="1:31" ht="14.7" customHeight="1" x14ac:dyDescent="0.3">
      <c r="A16" s="261" t="s">
        <v>227</v>
      </c>
      <c r="B16" s="261"/>
      <c r="C16" s="262"/>
    </row>
    <row r="17" spans="1:3" ht="26.25" customHeight="1" x14ac:dyDescent="0.3">
      <c r="A17" s="166"/>
      <c r="B17" s="263" t="s">
        <v>228</v>
      </c>
      <c r="C17" s="226" t="s">
        <v>229</v>
      </c>
    </row>
    <row r="18" spans="1:3" ht="14.7" customHeight="1" x14ac:dyDescent="0.3">
      <c r="A18" s="261" t="s">
        <v>230</v>
      </c>
      <c r="B18" s="261"/>
      <c r="C18" s="262"/>
    </row>
    <row r="19" spans="1:3" ht="40.5" customHeight="1" x14ac:dyDescent="0.3">
      <c r="A19" s="166"/>
      <c r="B19" s="263" t="s">
        <v>231</v>
      </c>
      <c r="C19" s="167" t="s">
        <v>232</v>
      </c>
    </row>
    <row r="20" spans="1:3" ht="18.75" customHeight="1" x14ac:dyDescent="0.3">
      <c r="A20" s="258" t="s">
        <v>233</v>
      </c>
      <c r="B20" s="259"/>
      <c r="C20" s="264"/>
    </row>
    <row r="21" spans="1:3" ht="14.7" customHeight="1" x14ac:dyDescent="0.3">
      <c r="A21" s="261" t="s">
        <v>234</v>
      </c>
      <c r="B21" s="261"/>
      <c r="C21" s="262"/>
    </row>
    <row r="22" spans="1:3" ht="42.6" customHeight="1" x14ac:dyDescent="0.3">
      <c r="A22" s="168"/>
      <c r="B22" s="263" t="s">
        <v>235</v>
      </c>
      <c r="C22" s="167" t="s">
        <v>236</v>
      </c>
    </row>
    <row r="23" spans="1:3" ht="14.7" customHeight="1" x14ac:dyDescent="0.3">
      <c r="A23" s="261" t="s">
        <v>237</v>
      </c>
      <c r="B23" s="261"/>
      <c r="C23" s="262"/>
    </row>
    <row r="24" spans="1:3" ht="30" customHeight="1" x14ac:dyDescent="0.3">
      <c r="A24" s="166"/>
      <c r="B24" s="263" t="s">
        <v>238</v>
      </c>
      <c r="C24" s="226" t="s">
        <v>239</v>
      </c>
    </row>
    <row r="25" spans="1:3" ht="14.7" customHeight="1" x14ac:dyDescent="0.3">
      <c r="A25" s="261" t="s">
        <v>240</v>
      </c>
      <c r="B25" s="261"/>
      <c r="C25" s="262"/>
    </row>
    <row r="26" spans="1:3" ht="38.25" customHeight="1" x14ac:dyDescent="0.3">
      <c r="A26" s="166"/>
      <c r="B26" s="263" t="s">
        <v>241</v>
      </c>
      <c r="C26" s="226" t="s">
        <v>242</v>
      </c>
    </row>
    <row r="27" spans="1:3" ht="14.7" customHeight="1" x14ac:dyDescent="0.3">
      <c r="A27" s="261" t="s">
        <v>243</v>
      </c>
      <c r="B27" s="261"/>
      <c r="C27" s="262"/>
    </row>
    <row r="28" spans="1:3" ht="34.5" customHeight="1" x14ac:dyDescent="0.3">
      <c r="A28" s="166"/>
      <c r="B28" s="263" t="s">
        <v>244</v>
      </c>
      <c r="C28" s="226" t="s">
        <v>245</v>
      </c>
    </row>
    <row r="29" spans="1:3" x14ac:dyDescent="0.3">
      <c r="A29" s="261" t="s">
        <v>246</v>
      </c>
      <c r="B29" s="261"/>
      <c r="C29" s="262"/>
    </row>
    <row r="30" spans="1:3" ht="60" customHeight="1" x14ac:dyDescent="0.3">
      <c r="A30" s="166"/>
      <c r="B30" s="263" t="s">
        <v>247</v>
      </c>
      <c r="C30" s="226" t="s">
        <v>248</v>
      </c>
    </row>
    <row r="31" spans="1:3" x14ac:dyDescent="0.3">
      <c r="A31" s="261" t="s">
        <v>249</v>
      </c>
      <c r="B31" s="261"/>
      <c r="C31" s="262"/>
    </row>
    <row r="32" spans="1:3" ht="30" customHeight="1" x14ac:dyDescent="0.3">
      <c r="A32" s="166"/>
      <c r="B32" s="263" t="s">
        <v>250</v>
      </c>
      <c r="C32" s="226" t="s">
        <v>251</v>
      </c>
    </row>
    <row r="33" spans="1:31" x14ac:dyDescent="0.3">
      <c r="A33" s="261" t="s">
        <v>252</v>
      </c>
      <c r="B33" s="261"/>
      <c r="C33" s="262"/>
    </row>
    <row r="34" spans="1:31" ht="30" customHeight="1" x14ac:dyDescent="0.3">
      <c r="A34" s="166"/>
      <c r="B34" s="263" t="s">
        <v>253</v>
      </c>
      <c r="C34" s="226" t="s">
        <v>254</v>
      </c>
    </row>
    <row r="35" spans="1:31" x14ac:dyDescent="0.3">
      <c r="A35" s="619" t="s">
        <v>255</v>
      </c>
      <c r="B35" s="620"/>
      <c r="C35" s="621"/>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row>
    <row r="36" spans="1:31" ht="60" customHeight="1" x14ac:dyDescent="0.3">
      <c r="A36" s="225"/>
      <c r="B36" s="265" t="s">
        <v>256</v>
      </c>
      <c r="C36" s="226" t="s">
        <v>257</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row>
  </sheetData>
  <mergeCells count="2">
    <mergeCell ref="A1:C1"/>
    <mergeCell ref="A35:C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8477-4BEF-481B-824C-BC37483E691F}">
  <sheetPr>
    <tabColor theme="9" tint="-0.249977111117893"/>
  </sheetPr>
  <dimension ref="A1:I365"/>
  <sheetViews>
    <sheetView topLeftCell="A222" zoomScale="70" zoomScaleNormal="70" workbookViewId="0">
      <selection activeCell="C72" sqref="C72"/>
    </sheetView>
  </sheetViews>
  <sheetFormatPr baseColWidth="10" defaultColWidth="11.44140625" defaultRowHeight="14.4" x14ac:dyDescent="0.3"/>
  <cols>
    <col min="1" max="1" width="13.33203125" style="194" customWidth="1"/>
    <col min="2" max="2" width="82.109375" style="194" customWidth="1"/>
    <col min="3" max="3" width="49.6640625" customWidth="1"/>
    <col min="4" max="4" width="49.5546875" customWidth="1"/>
    <col min="5" max="5" width="9.5546875" customWidth="1"/>
    <col min="6" max="6" width="48" customWidth="1"/>
    <col min="7" max="7" width="52.33203125" customWidth="1"/>
    <col min="8" max="8" width="11.44140625" customWidth="1"/>
  </cols>
  <sheetData>
    <row r="1" spans="1:7" ht="31.5" customHeight="1" x14ac:dyDescent="0.3">
      <c r="A1" s="171" t="s">
        <v>258</v>
      </c>
      <c r="B1" s="195"/>
      <c r="C1" s="170"/>
      <c r="D1" s="170"/>
      <c r="E1" s="170"/>
      <c r="F1" s="172" t="s">
        <v>259</v>
      </c>
      <c r="G1" s="173"/>
    </row>
    <row r="2" spans="1:7" ht="15.75" customHeight="1" x14ac:dyDescent="0.3">
      <c r="A2" s="170"/>
      <c r="B2" s="170"/>
      <c r="C2" s="170"/>
      <c r="D2" s="170"/>
      <c r="E2" s="170"/>
      <c r="F2" s="170"/>
      <c r="G2" s="170"/>
    </row>
    <row r="3" spans="1:7" ht="19.5" customHeight="1" x14ac:dyDescent="0.3">
      <c r="A3" s="170"/>
      <c r="B3" s="266" t="s">
        <v>260</v>
      </c>
      <c r="C3" s="175" t="s">
        <v>261</v>
      </c>
      <c r="D3" s="170"/>
      <c r="E3" s="267"/>
      <c r="F3" s="267"/>
      <c r="G3" s="268"/>
    </row>
    <row r="4" spans="1:7" ht="15.75" customHeight="1" x14ac:dyDescent="0.3">
      <c r="A4" s="170"/>
      <c r="B4" s="170"/>
      <c r="C4" s="209"/>
      <c r="D4" s="170"/>
      <c r="E4" s="170"/>
      <c r="F4" s="170"/>
      <c r="G4" s="170"/>
    </row>
    <row r="5" spans="1:7" ht="18.75" customHeight="1" x14ac:dyDescent="0.3">
      <c r="A5" s="170"/>
      <c r="B5" s="269" t="s">
        <v>262</v>
      </c>
      <c r="C5" s="270"/>
      <c r="D5" s="170"/>
      <c r="E5" s="270"/>
      <c r="F5" s="270"/>
      <c r="G5" s="270"/>
    </row>
    <row r="6" spans="1:7" x14ac:dyDescent="0.3">
      <c r="A6" s="207"/>
      <c r="B6" s="216" t="s">
        <v>263</v>
      </c>
      <c r="D6" s="170"/>
      <c r="E6" s="271"/>
      <c r="F6" s="271"/>
      <c r="G6" s="271"/>
    </row>
    <row r="7" spans="1:7" x14ac:dyDescent="0.3">
      <c r="A7" s="207"/>
      <c r="B7" s="216" t="s">
        <v>264</v>
      </c>
      <c r="D7" s="170"/>
      <c r="E7" s="271"/>
      <c r="F7" s="271"/>
      <c r="G7" s="271"/>
    </row>
    <row r="8" spans="1:7" x14ac:dyDescent="0.3">
      <c r="A8" s="207"/>
      <c r="B8" s="217" t="s">
        <v>265</v>
      </c>
      <c r="D8" s="170"/>
      <c r="E8" s="271"/>
      <c r="F8" s="271"/>
      <c r="G8" s="271"/>
    </row>
    <row r="9" spans="1:7" x14ac:dyDescent="0.3">
      <c r="A9" s="207"/>
      <c r="B9" s="239" t="s">
        <v>266</v>
      </c>
      <c r="D9" s="170"/>
      <c r="E9" s="271"/>
      <c r="F9" s="271"/>
      <c r="G9" s="271"/>
    </row>
    <row r="10" spans="1:7" x14ac:dyDescent="0.3">
      <c r="A10" s="207"/>
      <c r="B10" s="218" t="s">
        <v>267</v>
      </c>
      <c r="C10" s="170"/>
      <c r="D10" s="170"/>
      <c r="E10" s="271"/>
      <c r="F10" s="271"/>
      <c r="G10" s="271"/>
    </row>
    <row r="11" spans="1:7" ht="15.75" customHeight="1" x14ac:dyDescent="0.3">
      <c r="A11" s="170"/>
      <c r="B11" s="219" t="s">
        <v>268</v>
      </c>
      <c r="C11" s="210"/>
      <c r="D11" s="170"/>
      <c r="E11" s="271"/>
      <c r="F11" s="271"/>
      <c r="G11" s="271"/>
    </row>
    <row r="12" spans="1:7" x14ac:dyDescent="0.3">
      <c r="A12" s="170"/>
      <c r="B12" s="208"/>
      <c r="C12" s="170"/>
      <c r="D12" s="170"/>
      <c r="E12" s="622"/>
      <c r="F12" s="622"/>
      <c r="G12" s="170"/>
    </row>
    <row r="13" spans="1:7" ht="37.5" customHeight="1" x14ac:dyDescent="0.3">
      <c r="A13" s="273" t="s">
        <v>269</v>
      </c>
      <c r="B13" s="273" t="s">
        <v>263</v>
      </c>
      <c r="C13" s="274"/>
      <c r="D13" s="274"/>
      <c r="E13" s="273"/>
      <c r="F13" s="273"/>
      <c r="G13" s="273"/>
    </row>
    <row r="14" spans="1:7" x14ac:dyDescent="0.3">
      <c r="A14" s="275" t="s">
        <v>270</v>
      </c>
      <c r="B14" s="276" t="s">
        <v>271</v>
      </c>
      <c r="C14" s="277" t="s">
        <v>163</v>
      </c>
      <c r="D14" s="278"/>
      <c r="F14" s="279"/>
      <c r="G14" s="279"/>
    </row>
    <row r="15" spans="1:7" x14ac:dyDescent="0.3">
      <c r="A15" s="275" t="s">
        <v>272</v>
      </c>
      <c r="B15" s="276" t="s">
        <v>273</v>
      </c>
      <c r="C15" s="277" t="s">
        <v>274</v>
      </c>
      <c r="D15" s="278"/>
      <c r="F15" s="279"/>
      <c r="G15" s="279"/>
    </row>
    <row r="16" spans="1:7" x14ac:dyDescent="0.3">
      <c r="A16" s="275" t="s">
        <v>275</v>
      </c>
      <c r="B16" s="276" t="s">
        <v>276</v>
      </c>
      <c r="C16" s="277" t="s">
        <v>277</v>
      </c>
      <c r="D16" s="280"/>
      <c r="F16" s="234"/>
      <c r="G16" s="234"/>
    </row>
    <row r="17" spans="1:7" ht="30" customHeight="1" x14ac:dyDescent="0.3">
      <c r="A17" s="275" t="s">
        <v>278</v>
      </c>
      <c r="B17" s="276" t="s">
        <v>279</v>
      </c>
      <c r="C17" s="220" t="s">
        <v>280</v>
      </c>
      <c r="D17" s="280"/>
      <c r="F17" s="234"/>
      <c r="G17" s="234"/>
    </row>
    <row r="18" spans="1:7" x14ac:dyDescent="0.3">
      <c r="A18" s="275" t="s">
        <v>281</v>
      </c>
      <c r="B18" s="276" t="s">
        <v>282</v>
      </c>
      <c r="C18" s="281">
        <f>Introduction!G10</f>
        <v>46203</v>
      </c>
      <c r="D18" s="280"/>
      <c r="F18" s="234"/>
      <c r="G18" s="234"/>
    </row>
    <row r="19" spans="1:7" x14ac:dyDescent="0.3">
      <c r="A19" s="275" t="s">
        <v>283</v>
      </c>
      <c r="B19" s="276" t="s">
        <v>284</v>
      </c>
      <c r="C19" s="282" t="s">
        <v>285</v>
      </c>
      <c r="D19" s="234"/>
      <c r="F19" s="234"/>
      <c r="G19" s="234"/>
    </row>
    <row r="20" spans="1:7" x14ac:dyDescent="0.3">
      <c r="A20" s="275" t="s">
        <v>286</v>
      </c>
      <c r="B20" s="228" t="s">
        <v>287</v>
      </c>
      <c r="C20" s="282"/>
      <c r="D20" s="234"/>
      <c r="F20" s="234"/>
      <c r="G20" s="234"/>
    </row>
    <row r="21" spans="1:7" x14ac:dyDescent="0.3">
      <c r="A21" s="275" t="s">
        <v>288</v>
      </c>
      <c r="B21" s="228" t="s">
        <v>289</v>
      </c>
      <c r="C21" s="282"/>
      <c r="D21" s="234"/>
      <c r="F21" s="234"/>
      <c r="G21" s="234"/>
    </row>
    <row r="22" spans="1:7" x14ac:dyDescent="0.3">
      <c r="A22" s="275" t="s">
        <v>290</v>
      </c>
      <c r="B22" s="228"/>
      <c r="C22" s="282"/>
      <c r="D22" s="234"/>
      <c r="F22" s="234"/>
      <c r="G22" s="234"/>
    </row>
    <row r="23" spans="1:7" x14ac:dyDescent="0.3">
      <c r="A23" s="275" t="s">
        <v>291</v>
      </c>
      <c r="B23" s="228"/>
      <c r="C23" s="282"/>
      <c r="D23" s="234"/>
      <c r="F23" s="234"/>
      <c r="G23" s="234"/>
    </row>
    <row r="24" spans="1:7" x14ac:dyDescent="0.3">
      <c r="A24" s="275" t="s">
        <v>292</v>
      </c>
      <c r="B24" s="228"/>
      <c r="C24" s="282"/>
      <c r="D24" s="234"/>
      <c r="F24" s="234"/>
      <c r="G24" s="234"/>
    </row>
    <row r="25" spans="1:7" x14ac:dyDescent="0.3">
      <c r="A25" s="275" t="s">
        <v>293</v>
      </c>
      <c r="B25" s="228"/>
      <c r="C25" s="282"/>
      <c r="D25" s="234"/>
      <c r="F25" s="234"/>
      <c r="G25" s="234"/>
    </row>
    <row r="26" spans="1:7" ht="18.75" customHeight="1" x14ac:dyDescent="0.3">
      <c r="A26" s="273"/>
      <c r="B26" s="273" t="s">
        <v>264</v>
      </c>
      <c r="C26" s="274"/>
      <c r="D26" s="274"/>
      <c r="E26" s="273"/>
      <c r="F26" s="273"/>
      <c r="G26" s="273"/>
    </row>
    <row r="27" spans="1:7" x14ac:dyDescent="0.3">
      <c r="A27" s="275" t="s">
        <v>294</v>
      </c>
      <c r="B27" s="283" t="s">
        <v>295</v>
      </c>
      <c r="C27" s="280"/>
      <c r="D27" s="284"/>
      <c r="E27" s="284"/>
      <c r="F27" s="284"/>
      <c r="G27" s="284"/>
    </row>
    <row r="28" spans="1:7" x14ac:dyDescent="0.3">
      <c r="A28" s="275" t="s">
        <v>296</v>
      </c>
      <c r="B28" s="285" t="s">
        <v>297</v>
      </c>
      <c r="C28" s="280" t="s">
        <v>298</v>
      </c>
      <c r="D28" s="284"/>
      <c r="E28" s="284"/>
      <c r="F28" s="284"/>
      <c r="G28" s="284"/>
    </row>
    <row r="29" spans="1:7" x14ac:dyDescent="0.3">
      <c r="A29" s="275" t="s">
        <v>299</v>
      </c>
      <c r="B29" s="283" t="s">
        <v>300</v>
      </c>
      <c r="C29" s="280" t="s">
        <v>298</v>
      </c>
      <c r="D29" s="284"/>
      <c r="E29" s="284"/>
      <c r="F29" s="284"/>
      <c r="G29" s="284"/>
    </row>
    <row r="30" spans="1:7" ht="30" customHeight="1" x14ac:dyDescent="0.3">
      <c r="A30" s="275" t="s">
        <v>301</v>
      </c>
      <c r="B30" s="283" t="s">
        <v>302</v>
      </c>
      <c r="C30" s="221" t="s">
        <v>303</v>
      </c>
      <c r="D30" s="236"/>
      <c r="E30" s="236"/>
      <c r="F30" s="236"/>
      <c r="G30" s="236"/>
    </row>
    <row r="31" spans="1:7" x14ac:dyDescent="0.3">
      <c r="A31" s="275" t="s">
        <v>304</v>
      </c>
      <c r="B31" s="286"/>
      <c r="C31" s="284"/>
      <c r="D31" s="284"/>
      <c r="E31" s="284"/>
      <c r="F31" s="284"/>
      <c r="G31" s="284"/>
    </row>
    <row r="32" spans="1:7" x14ac:dyDescent="0.3">
      <c r="A32" s="275" t="s">
        <v>305</v>
      </c>
      <c r="B32" s="286"/>
      <c r="C32" s="284"/>
      <c r="D32" s="284"/>
      <c r="E32" s="284"/>
      <c r="F32" s="284"/>
      <c r="G32" s="284"/>
    </row>
    <row r="33" spans="1:7" x14ac:dyDescent="0.3">
      <c r="A33" s="275" t="s">
        <v>306</v>
      </c>
      <c r="B33" s="286"/>
      <c r="C33" s="284"/>
      <c r="D33" s="284"/>
      <c r="E33" s="284"/>
      <c r="F33" s="284"/>
      <c r="G33" s="284"/>
    </row>
    <row r="34" spans="1:7" x14ac:dyDescent="0.3">
      <c r="A34" s="275" t="s">
        <v>307</v>
      </c>
      <c r="B34" s="286"/>
      <c r="C34" s="284"/>
      <c r="D34" s="284"/>
      <c r="E34" s="284"/>
      <c r="F34" s="284"/>
      <c r="G34" s="284"/>
    </row>
    <row r="35" spans="1:7" x14ac:dyDescent="0.3">
      <c r="A35" s="275" t="s">
        <v>308</v>
      </c>
      <c r="B35" s="287"/>
      <c r="C35" s="235"/>
      <c r="D35" s="230"/>
      <c r="E35" s="230"/>
      <c r="F35" s="288"/>
      <c r="G35" s="174"/>
    </row>
    <row r="36" spans="1:7" ht="18.75" customHeight="1" x14ac:dyDescent="0.3">
      <c r="A36" s="273"/>
      <c r="B36" s="273" t="s">
        <v>265</v>
      </c>
      <c r="C36" s="274"/>
      <c r="D36" s="274"/>
      <c r="E36" s="273"/>
      <c r="F36" s="273"/>
      <c r="G36" s="273"/>
    </row>
    <row r="37" spans="1:7" x14ac:dyDescent="0.3">
      <c r="A37" s="289"/>
      <c r="B37" s="289" t="s">
        <v>309</v>
      </c>
      <c r="C37" s="289" t="s">
        <v>310</v>
      </c>
      <c r="D37" s="289"/>
      <c r="E37" s="289"/>
      <c r="F37" s="289"/>
      <c r="G37" s="289"/>
    </row>
    <row r="38" spans="1:7" x14ac:dyDescent="0.3">
      <c r="A38" s="275" t="s">
        <v>311</v>
      </c>
      <c r="B38" s="290" t="s">
        <v>312</v>
      </c>
      <c r="C38" s="202" cm="1">
        <f t="array" ref="C38">(SUMPRODUCT((Cube!$A$2:$A$9999="MOBILISE")*(Cube!$B$2:$B$9999="Summary")*(Cube!$C$2:$C$9999="MTKRDC")*(Cube!$E$2:$E$9999))/ 1000000)</f>
        <v>85276.066473039988</v>
      </c>
      <c r="D38" s="194"/>
      <c r="F38" s="198"/>
    </row>
    <row r="39" spans="1:7" x14ac:dyDescent="0.3">
      <c r="A39" s="275" t="s">
        <v>313</v>
      </c>
      <c r="B39" s="290" t="s">
        <v>314</v>
      </c>
      <c r="C39" s="202" cm="1">
        <f t="array" ref="C39">(SUMPRODUCT((Cube!$A$2:$A$9999="EMISSIONS")*(Cube!$B$2:$B$9999="Emissions")*(Cube!$C$2:$C$9999="MCOUV")*(Cube!$E$2:$E$9999))/1000000)</f>
        <v>64045.5</v>
      </c>
    </row>
    <row r="40" spans="1:7" x14ac:dyDescent="0.3">
      <c r="A40" s="275" t="s">
        <v>315</v>
      </c>
      <c r="B40" s="291" t="s">
        <v>316</v>
      </c>
      <c r="C40" s="194" t="s">
        <v>317</v>
      </c>
    </row>
    <row r="41" spans="1:7" x14ac:dyDescent="0.3">
      <c r="A41" s="275" t="s">
        <v>318</v>
      </c>
      <c r="B41" s="291" t="s">
        <v>319</v>
      </c>
      <c r="C41" s="194" t="s">
        <v>317</v>
      </c>
    </row>
    <row r="42" spans="1:7" x14ac:dyDescent="0.3">
      <c r="A42" s="275" t="s">
        <v>320</v>
      </c>
      <c r="B42" s="240"/>
    </row>
    <row r="43" spans="1:7" x14ac:dyDescent="0.3">
      <c r="A43" s="292" t="s">
        <v>321</v>
      </c>
      <c r="B43" s="234"/>
    </row>
    <row r="44" spans="1:7" x14ac:dyDescent="0.3">
      <c r="A44" s="289"/>
      <c r="B44" s="289" t="s">
        <v>322</v>
      </c>
      <c r="C44" s="289" t="s">
        <v>323</v>
      </c>
      <c r="D44" s="289" t="s">
        <v>324</v>
      </c>
      <c r="E44" s="289"/>
      <c r="F44" s="289" t="s">
        <v>325</v>
      </c>
      <c r="G44" s="289" t="s">
        <v>326</v>
      </c>
    </row>
    <row r="45" spans="1:7" x14ac:dyDescent="0.3">
      <c r="A45" s="275" t="s">
        <v>327</v>
      </c>
      <c r="B45" s="290" t="s">
        <v>328</v>
      </c>
      <c r="C45" s="198">
        <v>0.05</v>
      </c>
      <c r="D45" s="203">
        <f>(C38/C39-1-MAX(C45,F45))</f>
        <v>0.2814919310964859</v>
      </c>
      <c r="F45" s="198">
        <v>0.05</v>
      </c>
      <c r="G45" s="194" t="s">
        <v>329</v>
      </c>
    </row>
    <row r="46" spans="1:7" x14ac:dyDescent="0.3">
      <c r="A46" s="275"/>
      <c r="B46" s="275"/>
      <c r="C46" s="194"/>
      <c r="D46" s="223"/>
      <c r="F46" s="198"/>
      <c r="G46" s="194"/>
    </row>
    <row r="47" spans="1:7" x14ac:dyDescent="0.3">
      <c r="A47" s="275" t="s">
        <v>330</v>
      </c>
      <c r="B47" s="275" t="s">
        <v>331</v>
      </c>
      <c r="C47" s="202">
        <f>C38-C39</f>
        <v>21230.566473039988</v>
      </c>
    </row>
    <row r="48" spans="1:7" x14ac:dyDescent="0.3">
      <c r="A48" s="275" t="s">
        <v>332</v>
      </c>
      <c r="B48" s="275"/>
    </row>
    <row r="49" spans="1:7" x14ac:dyDescent="0.3">
      <c r="A49" s="275" t="s">
        <v>333</v>
      </c>
      <c r="B49" s="293" t="s">
        <v>334</v>
      </c>
    </row>
    <row r="50" spans="1:7" x14ac:dyDescent="0.3">
      <c r="A50" s="275" t="s">
        <v>335</v>
      </c>
      <c r="B50" s="293" t="s">
        <v>336</v>
      </c>
    </row>
    <row r="51" spans="1:7" x14ac:dyDescent="0.3">
      <c r="A51" s="275" t="s">
        <v>337</v>
      </c>
      <c r="B51" s="293" t="s">
        <v>338</v>
      </c>
    </row>
    <row r="52" spans="1:7" x14ac:dyDescent="0.3">
      <c r="A52" s="289"/>
      <c r="B52" s="289" t="s">
        <v>339</v>
      </c>
      <c r="C52" s="289" t="s">
        <v>310</v>
      </c>
      <c r="D52" s="289"/>
      <c r="E52" s="289"/>
      <c r="F52" s="289" t="s">
        <v>340</v>
      </c>
      <c r="G52" s="289"/>
    </row>
    <row r="53" spans="1:7" x14ac:dyDescent="0.3">
      <c r="A53" s="275" t="s">
        <v>341</v>
      </c>
      <c r="B53" s="290" t="s">
        <v>342</v>
      </c>
      <c r="C53" s="202">
        <f>C38</f>
        <v>85276.066473039988</v>
      </c>
      <c r="D53" s="196"/>
      <c r="E53" s="196"/>
      <c r="F53" s="294">
        <v>1</v>
      </c>
    </row>
    <row r="54" spans="1:7" x14ac:dyDescent="0.3">
      <c r="A54" s="275" t="s">
        <v>343</v>
      </c>
      <c r="B54" s="290" t="s">
        <v>344</v>
      </c>
      <c r="C54" s="194">
        <v>0</v>
      </c>
      <c r="D54" s="194"/>
      <c r="E54" s="194"/>
      <c r="F54" s="294">
        <v>0</v>
      </c>
    </row>
    <row r="55" spans="1:7" x14ac:dyDescent="0.3">
      <c r="A55" s="275" t="s">
        <v>345</v>
      </c>
      <c r="B55" s="290" t="s">
        <v>346</v>
      </c>
      <c r="C55" s="194">
        <v>0</v>
      </c>
      <c r="D55" s="194"/>
      <c r="E55" s="194"/>
      <c r="F55" s="294">
        <v>0</v>
      </c>
    </row>
    <row r="56" spans="1:7" x14ac:dyDescent="0.3">
      <c r="A56" s="275" t="s">
        <v>347</v>
      </c>
      <c r="B56" s="290" t="s">
        <v>348</v>
      </c>
      <c r="C56" s="194">
        <v>0</v>
      </c>
      <c r="D56" s="194"/>
      <c r="E56" s="194"/>
      <c r="F56" s="294">
        <v>0</v>
      </c>
    </row>
    <row r="57" spans="1:7" x14ac:dyDescent="0.3">
      <c r="A57" s="275" t="s">
        <v>349</v>
      </c>
      <c r="B57" s="275" t="s">
        <v>350</v>
      </c>
      <c r="C57" s="194">
        <v>0</v>
      </c>
      <c r="D57" s="194"/>
      <c r="E57" s="194"/>
      <c r="F57" s="294">
        <v>0</v>
      </c>
    </row>
    <row r="58" spans="1:7" x14ac:dyDescent="0.3">
      <c r="A58" s="275" t="s">
        <v>351</v>
      </c>
      <c r="B58" s="295" t="s">
        <v>352</v>
      </c>
      <c r="C58" s="296">
        <f>SUM(C53:C57)</f>
        <v>85276.066473039988</v>
      </c>
      <c r="D58" s="194"/>
      <c r="E58" s="194"/>
      <c r="F58" s="294">
        <f>SUM(F53:F57)</f>
        <v>1</v>
      </c>
    </row>
    <row r="59" spans="1:7" x14ac:dyDescent="0.3">
      <c r="A59" s="275" t="s">
        <v>353</v>
      </c>
      <c r="B59" s="233" t="s">
        <v>354</v>
      </c>
      <c r="C59" s="194"/>
      <c r="D59" s="194"/>
      <c r="E59" s="194"/>
      <c r="F59" s="297"/>
    </row>
    <row r="60" spans="1:7" x14ac:dyDescent="0.3">
      <c r="A60" s="275" t="s">
        <v>355</v>
      </c>
      <c r="B60" s="233" t="s">
        <v>354</v>
      </c>
      <c r="C60" s="194"/>
      <c r="D60" s="194"/>
      <c r="E60" s="194"/>
      <c r="F60" s="297"/>
    </row>
    <row r="61" spans="1:7" x14ac:dyDescent="0.3">
      <c r="A61" s="275" t="s">
        <v>356</v>
      </c>
      <c r="B61" s="233" t="s">
        <v>354</v>
      </c>
      <c r="C61" s="194"/>
      <c r="D61" s="194"/>
      <c r="E61" s="194"/>
      <c r="F61" s="297"/>
    </row>
    <row r="62" spans="1:7" x14ac:dyDescent="0.3">
      <c r="A62" s="275" t="s">
        <v>357</v>
      </c>
      <c r="B62" s="233" t="s">
        <v>354</v>
      </c>
      <c r="C62" s="194"/>
      <c r="D62" s="194"/>
      <c r="E62" s="194"/>
      <c r="F62" s="297"/>
    </row>
    <row r="63" spans="1:7" x14ac:dyDescent="0.3">
      <c r="A63" s="275" t="s">
        <v>358</v>
      </c>
      <c r="B63" s="233" t="s">
        <v>354</v>
      </c>
      <c r="C63" s="196"/>
      <c r="D63" s="196"/>
      <c r="E63" s="196"/>
      <c r="F63" s="298"/>
    </row>
    <row r="64" spans="1:7" x14ac:dyDescent="0.3">
      <c r="A64" s="275" t="s">
        <v>359</v>
      </c>
      <c r="B64" s="233" t="s">
        <v>354</v>
      </c>
      <c r="C64" s="194"/>
      <c r="D64" s="194"/>
      <c r="E64" s="194"/>
      <c r="F64" s="297"/>
    </row>
    <row r="65" spans="1:7" x14ac:dyDescent="0.3">
      <c r="A65" s="289"/>
      <c r="B65" s="289" t="s">
        <v>360</v>
      </c>
      <c r="C65" s="289" t="s">
        <v>361</v>
      </c>
      <c r="D65" s="289" t="s">
        <v>362</v>
      </c>
      <c r="E65" s="289"/>
      <c r="F65" s="289" t="s">
        <v>363</v>
      </c>
      <c r="G65" s="289" t="s">
        <v>364</v>
      </c>
    </row>
    <row r="66" spans="1:7" x14ac:dyDescent="0.3">
      <c r="A66" s="275" t="s">
        <v>365</v>
      </c>
      <c r="B66" s="290" t="s">
        <v>366</v>
      </c>
      <c r="C66" s="212">
        <f>'D1.Overview'!E116</f>
        <v>8.1594655550183806</v>
      </c>
      <c r="D66" s="212">
        <f>'D1.Overview'!D116</f>
        <v>5.6391128225288547</v>
      </c>
      <c r="F66" s="198"/>
      <c r="G66" s="199"/>
    </row>
    <row r="67" spans="1:7" x14ac:dyDescent="0.3">
      <c r="A67" s="275"/>
      <c r="B67" s="290"/>
      <c r="C67" s="205"/>
      <c r="D67" s="202"/>
      <c r="F67" s="198"/>
      <c r="G67" s="199"/>
    </row>
    <row r="68" spans="1:7" x14ac:dyDescent="0.3">
      <c r="A68" s="275"/>
      <c r="B68" s="290" t="s">
        <v>367</v>
      </c>
      <c r="C68" s="205"/>
      <c r="D68" s="202"/>
      <c r="F68" s="198"/>
      <c r="G68" s="199"/>
    </row>
    <row r="69" spans="1:7" x14ac:dyDescent="0.3">
      <c r="A69" s="275"/>
      <c r="B69" s="290" t="s">
        <v>368</v>
      </c>
      <c r="C69" s="205"/>
      <c r="D69" s="202"/>
      <c r="F69" s="198"/>
      <c r="G69" s="199"/>
    </row>
    <row r="70" spans="1:7" x14ac:dyDescent="0.3">
      <c r="A70" s="275" t="s">
        <v>369</v>
      </c>
      <c r="B70" s="299" t="s">
        <v>370</v>
      </c>
      <c r="C70" s="202">
        <f>'D1.Overview'!D140</f>
        <v>147.89310601</v>
      </c>
      <c r="D70" s="202">
        <f>'D1.Overview'!D128</f>
        <v>11017.3073552397</v>
      </c>
      <c r="F70" s="294">
        <f t="shared" ref="F70:G76" si="0">C70/C$77</f>
        <v>1.7342862086252109E-3</v>
      </c>
      <c r="G70" s="294">
        <f t="shared" si="0"/>
        <v>0.12919577358461123</v>
      </c>
    </row>
    <row r="71" spans="1:7" x14ac:dyDescent="0.3">
      <c r="A71" s="275" t="s">
        <v>371</v>
      </c>
      <c r="B71" s="299" t="s">
        <v>372</v>
      </c>
      <c r="C71" s="202">
        <f>'D1.Overview'!E140</f>
        <v>433.02753218999999</v>
      </c>
      <c r="D71" s="202">
        <f>'D1.Overview'!E128</f>
        <v>10712.021697342347</v>
      </c>
      <c r="F71" s="294">
        <f t="shared" si="0"/>
        <v>5.0779491843341703E-3</v>
      </c>
      <c r="G71" s="294">
        <f t="shared" si="0"/>
        <v>0.12561580477148943</v>
      </c>
    </row>
    <row r="72" spans="1:7" x14ac:dyDescent="0.3">
      <c r="A72" s="275" t="s">
        <v>373</v>
      </c>
      <c r="B72" s="299" t="s">
        <v>374</v>
      </c>
      <c r="C72" s="202">
        <f>'D1.Overview'!F140</f>
        <v>778.59679159999996</v>
      </c>
      <c r="D72" s="202">
        <f>'D1.Overview'!F128</f>
        <v>9454.3750811359641</v>
      </c>
      <c r="F72" s="294">
        <f t="shared" si="0"/>
        <v>9.1303084652263247E-3</v>
      </c>
      <c r="G72" s="294">
        <f t="shared" si="0"/>
        <v>0.11086786117349427</v>
      </c>
    </row>
    <row r="73" spans="1:7" x14ac:dyDescent="0.3">
      <c r="A73" s="275" t="s">
        <v>375</v>
      </c>
      <c r="B73" s="299" t="s">
        <v>376</v>
      </c>
      <c r="C73" s="202">
        <f>'D1.Overview'!G140</f>
        <v>1129.5313548399999</v>
      </c>
      <c r="D73" s="202">
        <f>'D1.Overview'!G128</f>
        <v>8308.3511785674964</v>
      </c>
      <c r="F73" s="294">
        <f t="shared" si="0"/>
        <v>1.3245584623642332E-2</v>
      </c>
      <c r="G73" s="294">
        <f t="shared" si="0"/>
        <v>9.7428874689344663E-2</v>
      </c>
    </row>
    <row r="74" spans="1:7" x14ac:dyDescent="0.3">
      <c r="A74" s="275" t="s">
        <v>377</v>
      </c>
      <c r="B74" s="299" t="s">
        <v>378</v>
      </c>
      <c r="C74" s="202">
        <f>'D1.Overview'!H140</f>
        <v>1505.6074065299999</v>
      </c>
      <c r="D74" s="202">
        <f>'D1.Overview'!H128</f>
        <v>7268.4298126898575</v>
      </c>
      <c r="F74" s="294">
        <f t="shared" si="0"/>
        <v>1.765568545549644E-2</v>
      </c>
      <c r="G74" s="294">
        <f t="shared" si="0"/>
        <v>8.5234112303249468E-2</v>
      </c>
    </row>
    <row r="75" spans="1:7" x14ac:dyDescent="0.3">
      <c r="A75" s="275" t="s">
        <v>379</v>
      </c>
      <c r="B75" s="299" t="s">
        <v>380</v>
      </c>
      <c r="C75" s="202">
        <f>'D1.Overview'!I140</f>
        <v>13832.71452222</v>
      </c>
      <c r="D75" s="202">
        <f>'D1.Overview'!I128</f>
        <v>24029.927791426111</v>
      </c>
      <c r="F75" s="294">
        <f t="shared" si="0"/>
        <v>0.16221098245183727</v>
      </c>
      <c r="G75" s="294">
        <f t="shared" si="0"/>
        <v>0.28178982487214993</v>
      </c>
    </row>
    <row r="76" spans="1:7" x14ac:dyDescent="0.3">
      <c r="A76" s="275" t="s">
        <v>381</v>
      </c>
      <c r="B76" s="299" t="s">
        <v>382</v>
      </c>
      <c r="C76" s="202">
        <f>'D1.Overview'!J140</f>
        <v>67448.69575965</v>
      </c>
      <c r="D76" s="202">
        <f>'D1.Overview'!J128</f>
        <v>14485.653394114393</v>
      </c>
      <c r="F76" s="294">
        <f t="shared" si="0"/>
        <v>0.7909452036108382</v>
      </c>
      <c r="G76" s="294">
        <f t="shared" si="0"/>
        <v>0.16986774860566109</v>
      </c>
    </row>
    <row r="77" spans="1:7" x14ac:dyDescent="0.3">
      <c r="A77" s="275" t="s">
        <v>383</v>
      </c>
      <c r="B77" s="300" t="s">
        <v>352</v>
      </c>
      <c r="C77" s="296">
        <f>SUM(C70:C76)</f>
        <v>85276.066473040002</v>
      </c>
      <c r="D77" s="296">
        <f>SUM(D70:D76)</f>
        <v>85276.06631051586</v>
      </c>
      <c r="E77" s="198"/>
      <c r="F77" s="294">
        <f>SUM(F70:F76)</f>
        <v>1</v>
      </c>
      <c r="G77" s="294">
        <f>SUM(G70:G76)</f>
        <v>1</v>
      </c>
    </row>
    <row r="78" spans="1:7" x14ac:dyDescent="0.3">
      <c r="A78" s="275" t="s">
        <v>384</v>
      </c>
      <c r="B78" s="301" t="s">
        <v>385</v>
      </c>
      <c r="C78" s="197"/>
      <c r="D78" s="198"/>
      <c r="F78" s="302"/>
      <c r="G78" s="303"/>
    </row>
    <row r="79" spans="1:7" x14ac:dyDescent="0.3">
      <c r="A79" s="275" t="s">
        <v>386</v>
      </c>
      <c r="B79" s="301" t="s">
        <v>387</v>
      </c>
      <c r="C79" s="197"/>
      <c r="D79" s="198"/>
      <c r="F79" s="302"/>
      <c r="G79" s="303"/>
    </row>
    <row r="80" spans="1:7" x14ac:dyDescent="0.3">
      <c r="A80" s="275" t="s">
        <v>388</v>
      </c>
      <c r="B80" s="301" t="s">
        <v>389</v>
      </c>
      <c r="C80" s="197"/>
      <c r="D80" s="198"/>
      <c r="F80" s="302"/>
      <c r="G80" s="303"/>
    </row>
    <row r="81" spans="1:7" x14ac:dyDescent="0.3">
      <c r="A81" s="275" t="s">
        <v>390</v>
      </c>
      <c r="B81" s="301" t="s">
        <v>391</v>
      </c>
      <c r="C81" s="197"/>
      <c r="D81" s="198"/>
      <c r="F81" s="302"/>
      <c r="G81" s="303"/>
    </row>
    <row r="82" spans="1:7" x14ac:dyDescent="0.3">
      <c r="A82" s="275" t="s">
        <v>392</v>
      </c>
      <c r="B82" s="301" t="s">
        <v>393</v>
      </c>
      <c r="C82" s="197"/>
      <c r="D82" s="198"/>
      <c r="F82" s="302"/>
      <c r="G82" s="303"/>
    </row>
    <row r="83" spans="1:7" x14ac:dyDescent="0.3">
      <c r="A83" s="275" t="s">
        <v>394</v>
      </c>
      <c r="B83" s="241"/>
    </row>
    <row r="84" spans="1:7" x14ac:dyDescent="0.3">
      <c r="A84" s="275" t="s">
        <v>395</v>
      </c>
      <c r="B84" s="241"/>
    </row>
    <row r="85" spans="1:7" x14ac:dyDescent="0.3">
      <c r="A85" s="275" t="s">
        <v>396</v>
      </c>
      <c r="B85" s="241"/>
    </row>
    <row r="86" spans="1:7" x14ac:dyDescent="0.3">
      <c r="A86" s="275" t="s">
        <v>397</v>
      </c>
      <c r="B86" s="304"/>
    </row>
    <row r="87" spans="1:7" x14ac:dyDescent="0.3">
      <c r="A87" s="275" t="s">
        <v>398</v>
      </c>
      <c r="B87" s="241"/>
    </row>
    <row r="88" spans="1:7" x14ac:dyDescent="0.3">
      <c r="A88" s="289"/>
      <c r="B88" s="289" t="s">
        <v>399</v>
      </c>
      <c r="C88" s="289" t="s">
        <v>400</v>
      </c>
      <c r="D88" s="289" t="s">
        <v>401</v>
      </c>
      <c r="E88" s="289"/>
      <c r="F88" s="289" t="s">
        <v>402</v>
      </c>
      <c r="G88" s="289" t="s">
        <v>403</v>
      </c>
    </row>
    <row r="89" spans="1:7" x14ac:dyDescent="0.3">
      <c r="A89" s="275" t="s">
        <v>404</v>
      </c>
      <c r="B89" s="290" t="s">
        <v>405</v>
      </c>
      <c r="C89" s="211">
        <f>'D1.Overview'!E118</f>
        <v>5.3</v>
      </c>
      <c r="D89" s="211">
        <f>'D1.Overview'!D118</f>
        <v>6.15</v>
      </c>
      <c r="F89" s="198"/>
    </row>
    <row r="90" spans="1:7" x14ac:dyDescent="0.3">
      <c r="A90" s="275"/>
      <c r="B90" s="290"/>
      <c r="C90" s="198"/>
      <c r="D90" s="200"/>
      <c r="F90" s="198"/>
    </row>
    <row r="91" spans="1:7" x14ac:dyDescent="0.3">
      <c r="A91" s="275"/>
      <c r="B91" s="290" t="s">
        <v>406</v>
      </c>
      <c r="C91" s="198"/>
      <c r="D91" s="200"/>
      <c r="F91" s="198"/>
    </row>
    <row r="92" spans="1:7" x14ac:dyDescent="0.3">
      <c r="A92" s="275" t="s">
        <v>407</v>
      </c>
      <c r="B92" s="290" t="s">
        <v>368</v>
      </c>
    </row>
    <row r="93" spans="1:7" x14ac:dyDescent="0.3">
      <c r="A93" s="275" t="s">
        <v>408</v>
      </c>
      <c r="B93" s="299" t="s">
        <v>370</v>
      </c>
      <c r="C93" s="202">
        <f>'D1.Overview'!D142</f>
        <v>4280</v>
      </c>
      <c r="D93" s="202">
        <f>'D1.Overview'!D130</f>
        <v>30</v>
      </c>
      <c r="F93" s="305">
        <f t="shared" ref="F93:G99" si="1">C93/C$100</f>
        <v>6.6827489831447956E-2</v>
      </c>
      <c r="G93" s="305">
        <f t="shared" si="1"/>
        <v>4.6841698479986886E-4</v>
      </c>
    </row>
    <row r="94" spans="1:7" x14ac:dyDescent="0.3">
      <c r="A94" s="275" t="s">
        <v>409</v>
      </c>
      <c r="B94" s="299" t="s">
        <v>372</v>
      </c>
      <c r="C94" s="202">
        <f>'D1.Overview'!E142</f>
        <v>10782</v>
      </c>
      <c r="D94" s="202">
        <f>'D1.Overview'!E130</f>
        <v>8016</v>
      </c>
      <c r="F94" s="305">
        <f t="shared" si="1"/>
        <v>0.16834906433707286</v>
      </c>
      <c r="G94" s="305">
        <f t="shared" si="1"/>
        <v>0.12516101833852494</v>
      </c>
    </row>
    <row r="95" spans="1:7" x14ac:dyDescent="0.3">
      <c r="A95" s="275" t="s">
        <v>410</v>
      </c>
      <c r="B95" s="299" t="s">
        <v>374</v>
      </c>
      <c r="C95" s="202">
        <f>'D1.Overview'!F142</f>
        <v>7345</v>
      </c>
      <c r="D95" s="202">
        <f>'D1.Overview'!F130</f>
        <v>7066</v>
      </c>
      <c r="F95" s="305">
        <f t="shared" si="1"/>
        <v>0.11468409177850122</v>
      </c>
      <c r="G95" s="305">
        <f t="shared" si="1"/>
        <v>0.11032781381986244</v>
      </c>
    </row>
    <row r="96" spans="1:7" x14ac:dyDescent="0.3">
      <c r="A96" s="275" t="s">
        <v>411</v>
      </c>
      <c r="B96" s="299" t="s">
        <v>376</v>
      </c>
      <c r="C96" s="202">
        <f>'D1.Overview'!G142</f>
        <v>6358</v>
      </c>
      <c r="D96" s="202">
        <f>'D1.Overview'!G130</f>
        <v>8893</v>
      </c>
      <c r="F96" s="305">
        <f t="shared" si="1"/>
        <v>9.9273172978585539E-2</v>
      </c>
      <c r="G96" s="305">
        <f t="shared" si="1"/>
        <v>0.13885440819417447</v>
      </c>
    </row>
    <row r="97" spans="1:7" x14ac:dyDescent="0.3">
      <c r="A97" s="275" t="s">
        <v>412</v>
      </c>
      <c r="B97" s="299" t="s">
        <v>378</v>
      </c>
      <c r="C97" s="202">
        <f>'D1.Overview'!H142</f>
        <v>5920</v>
      </c>
      <c r="D97" s="202">
        <f>'D1.Overview'!H130</f>
        <v>4760</v>
      </c>
      <c r="F97" s="305">
        <f t="shared" si="1"/>
        <v>9.2434285000507446E-2</v>
      </c>
      <c r="G97" s="305">
        <f t="shared" si="1"/>
        <v>7.4322161588245853E-2</v>
      </c>
    </row>
    <row r="98" spans="1:7" x14ac:dyDescent="0.3">
      <c r="A98" s="275" t="s">
        <v>413</v>
      </c>
      <c r="B98" s="299" t="s">
        <v>380</v>
      </c>
      <c r="C98" s="202">
        <f>'D1.Overview'!I142</f>
        <v>24871.200000000001</v>
      </c>
      <c r="D98" s="202">
        <f>'D1.Overview'!I130</f>
        <v>28141.200000000001</v>
      </c>
      <c r="F98" s="305">
        <f t="shared" si="1"/>
        <v>0.38833641707848326</v>
      </c>
      <c r="G98" s="305">
        <f t="shared" si="1"/>
        <v>0.439393868421669</v>
      </c>
    </row>
    <row r="99" spans="1:7" x14ac:dyDescent="0.3">
      <c r="A99" s="275" t="s">
        <v>414</v>
      </c>
      <c r="B99" s="299" t="s">
        <v>382</v>
      </c>
      <c r="C99" s="202">
        <f>'D1.Overview'!J142</f>
        <v>4489.3</v>
      </c>
      <c r="D99" s="202">
        <f>'D1.Overview'!J130</f>
        <v>7139.3</v>
      </c>
      <c r="F99" s="305">
        <f t="shared" si="1"/>
        <v>7.0095478995401708E-2</v>
      </c>
      <c r="G99" s="305">
        <f t="shared" si="1"/>
        <v>0.11147231265272346</v>
      </c>
    </row>
    <row r="100" spans="1:7" x14ac:dyDescent="0.3">
      <c r="A100" s="275" t="s">
        <v>415</v>
      </c>
      <c r="B100" s="300" t="s">
        <v>352</v>
      </c>
      <c r="C100" s="296">
        <f>SUM(C93:C99)</f>
        <v>64045.5</v>
      </c>
      <c r="D100" s="296">
        <f>SUM(D93:D99)</f>
        <v>64045.5</v>
      </c>
      <c r="E100" s="198"/>
      <c r="F100" s="306">
        <f>SUM(F93:F99)</f>
        <v>0.99999999999999989</v>
      </c>
      <c r="G100" s="306">
        <f>SUM(G93:G99)</f>
        <v>1</v>
      </c>
    </row>
    <row r="101" spans="1:7" x14ac:dyDescent="0.3">
      <c r="A101" s="275" t="s">
        <v>416</v>
      </c>
      <c r="B101" s="301" t="s">
        <v>385</v>
      </c>
      <c r="F101" s="307"/>
      <c r="G101" s="307"/>
    </row>
    <row r="102" spans="1:7" x14ac:dyDescent="0.3">
      <c r="A102" s="275" t="s">
        <v>417</v>
      </c>
      <c r="B102" s="301" t="s">
        <v>387</v>
      </c>
      <c r="F102" s="307"/>
      <c r="G102" s="307"/>
    </row>
    <row r="103" spans="1:7" x14ac:dyDescent="0.3">
      <c r="A103" s="275" t="s">
        <v>418</v>
      </c>
      <c r="B103" s="301" t="s">
        <v>389</v>
      </c>
      <c r="F103" s="307"/>
      <c r="G103" s="307"/>
    </row>
    <row r="104" spans="1:7" x14ac:dyDescent="0.3">
      <c r="A104" s="275" t="s">
        <v>419</v>
      </c>
      <c r="B104" s="301" t="s">
        <v>391</v>
      </c>
      <c r="F104" s="307"/>
      <c r="G104" s="307"/>
    </row>
    <row r="105" spans="1:7" x14ac:dyDescent="0.3">
      <c r="A105" s="275" t="s">
        <v>420</v>
      </c>
      <c r="B105" s="301" t="s">
        <v>393</v>
      </c>
      <c r="F105" s="307"/>
      <c r="G105" s="307"/>
    </row>
    <row r="106" spans="1:7" x14ac:dyDescent="0.3">
      <c r="A106" s="275" t="s">
        <v>421</v>
      </c>
      <c r="B106" s="241"/>
    </row>
    <row r="107" spans="1:7" x14ac:dyDescent="0.3">
      <c r="A107" s="275" t="s">
        <v>422</v>
      </c>
      <c r="B107" s="241"/>
    </row>
    <row r="108" spans="1:7" x14ac:dyDescent="0.3">
      <c r="A108" s="275" t="s">
        <v>423</v>
      </c>
      <c r="B108" s="304"/>
    </row>
    <row r="109" spans="1:7" x14ac:dyDescent="0.3">
      <c r="A109" s="275" t="s">
        <v>424</v>
      </c>
      <c r="B109" s="241"/>
    </row>
    <row r="110" spans="1:7" x14ac:dyDescent="0.3">
      <c r="A110" s="275" t="s">
        <v>425</v>
      </c>
      <c r="B110" s="241"/>
    </row>
    <row r="111" spans="1:7" x14ac:dyDescent="0.3">
      <c r="A111" s="289"/>
      <c r="B111" s="289" t="s">
        <v>426</v>
      </c>
      <c r="C111" s="289" t="s">
        <v>427</v>
      </c>
      <c r="D111" s="289" t="s">
        <v>428</v>
      </c>
      <c r="E111" s="289"/>
      <c r="F111" s="289" t="s">
        <v>429</v>
      </c>
      <c r="G111" s="289" t="s">
        <v>430</v>
      </c>
    </row>
    <row r="112" spans="1:7" x14ac:dyDescent="0.3">
      <c r="A112" s="275" t="s">
        <v>431</v>
      </c>
      <c r="B112" s="290" t="s">
        <v>261</v>
      </c>
      <c r="C112" s="202">
        <f>C38</f>
        <v>85276.066473039988</v>
      </c>
      <c r="D112" s="202">
        <f>C38</f>
        <v>85276.066473039988</v>
      </c>
      <c r="F112" s="294">
        <v>1</v>
      </c>
      <c r="G112" s="294">
        <v>1</v>
      </c>
    </row>
    <row r="113" spans="1:7" x14ac:dyDescent="0.3">
      <c r="A113" s="275" t="s">
        <v>432</v>
      </c>
      <c r="B113" s="290" t="s">
        <v>433</v>
      </c>
      <c r="C113" s="308">
        <v>0</v>
      </c>
      <c r="D113" s="308">
        <v>0</v>
      </c>
      <c r="F113" s="294">
        <v>0</v>
      </c>
      <c r="G113" s="294">
        <v>0</v>
      </c>
    </row>
    <row r="114" spans="1:7" x14ac:dyDescent="0.3">
      <c r="A114" s="275" t="s">
        <v>434</v>
      </c>
      <c r="B114" s="290" t="s">
        <v>435</v>
      </c>
      <c r="C114" s="308">
        <v>0</v>
      </c>
      <c r="D114" s="308">
        <v>0</v>
      </c>
      <c r="F114" s="294">
        <v>0</v>
      </c>
      <c r="G114" s="294">
        <v>0</v>
      </c>
    </row>
    <row r="115" spans="1:7" x14ac:dyDescent="0.3">
      <c r="A115" s="275" t="s">
        <v>436</v>
      </c>
      <c r="B115" s="290" t="s">
        <v>437</v>
      </c>
      <c r="C115" s="308">
        <v>0</v>
      </c>
      <c r="D115" s="308">
        <v>0</v>
      </c>
      <c r="F115" s="294">
        <v>0</v>
      </c>
      <c r="G115" s="294">
        <v>0</v>
      </c>
    </row>
    <row r="116" spans="1:7" x14ac:dyDescent="0.3">
      <c r="A116" s="275" t="s">
        <v>438</v>
      </c>
      <c r="B116" s="290" t="s">
        <v>439</v>
      </c>
      <c r="C116" s="308">
        <v>0</v>
      </c>
      <c r="D116" s="308">
        <v>0</v>
      </c>
      <c r="F116" s="294">
        <v>0</v>
      </c>
      <c r="G116" s="294">
        <v>0</v>
      </c>
    </row>
    <row r="117" spans="1:7" x14ac:dyDescent="0.3">
      <c r="A117" s="275" t="s">
        <v>440</v>
      </c>
      <c r="B117" s="290" t="s">
        <v>441</v>
      </c>
      <c r="C117" s="308">
        <v>0</v>
      </c>
      <c r="D117" s="308">
        <v>0</v>
      </c>
      <c r="F117" s="294">
        <v>0</v>
      </c>
      <c r="G117" s="294">
        <v>0</v>
      </c>
    </row>
    <row r="118" spans="1:7" x14ac:dyDescent="0.3">
      <c r="A118" s="275" t="s">
        <v>442</v>
      </c>
      <c r="B118" s="290" t="s">
        <v>443</v>
      </c>
      <c r="C118" s="308">
        <v>0</v>
      </c>
      <c r="D118" s="308">
        <v>0</v>
      </c>
      <c r="F118" s="294">
        <v>0</v>
      </c>
      <c r="G118" s="294">
        <v>0</v>
      </c>
    </row>
    <row r="119" spans="1:7" x14ac:dyDescent="0.3">
      <c r="A119" s="275" t="s">
        <v>444</v>
      </c>
      <c r="B119" s="290" t="s">
        <v>445</v>
      </c>
      <c r="C119" s="308">
        <v>0</v>
      </c>
      <c r="D119" s="308">
        <v>0</v>
      </c>
      <c r="F119" s="294">
        <v>0</v>
      </c>
      <c r="G119" s="294">
        <v>0</v>
      </c>
    </row>
    <row r="120" spans="1:7" x14ac:dyDescent="0.3">
      <c r="A120" s="275" t="s">
        <v>446</v>
      </c>
      <c r="B120" s="290" t="s">
        <v>447</v>
      </c>
      <c r="C120" s="308">
        <v>0</v>
      </c>
      <c r="D120" s="308">
        <v>0</v>
      </c>
      <c r="F120" s="294">
        <v>0</v>
      </c>
      <c r="G120" s="294">
        <v>0</v>
      </c>
    </row>
    <row r="121" spans="1:7" x14ac:dyDescent="0.3">
      <c r="A121" s="275" t="s">
        <v>448</v>
      </c>
      <c r="B121" s="275" t="s">
        <v>449</v>
      </c>
      <c r="C121" s="308">
        <v>0</v>
      </c>
      <c r="D121" s="308">
        <v>0</v>
      </c>
      <c r="F121" s="294">
        <v>0</v>
      </c>
      <c r="G121" s="294">
        <v>0</v>
      </c>
    </row>
    <row r="122" spans="1:7" x14ac:dyDescent="0.3">
      <c r="A122" s="275" t="s">
        <v>450</v>
      </c>
      <c r="B122" s="290" t="s">
        <v>451</v>
      </c>
      <c r="C122" s="308">
        <v>0</v>
      </c>
      <c r="D122" s="308">
        <v>0</v>
      </c>
      <c r="F122" s="294">
        <v>0</v>
      </c>
      <c r="G122" s="294">
        <v>0</v>
      </c>
    </row>
    <row r="123" spans="1:7" x14ac:dyDescent="0.3">
      <c r="A123" s="275" t="s">
        <v>452</v>
      </c>
      <c r="B123" s="290" t="s">
        <v>453</v>
      </c>
      <c r="C123" s="308">
        <v>0</v>
      </c>
      <c r="D123" s="308">
        <v>0</v>
      </c>
      <c r="F123" s="294">
        <v>0</v>
      </c>
      <c r="G123" s="294">
        <v>0</v>
      </c>
    </row>
    <row r="124" spans="1:7" x14ac:dyDescent="0.3">
      <c r="A124" s="275" t="s">
        <v>454</v>
      </c>
      <c r="B124" s="290" t="s">
        <v>455</v>
      </c>
      <c r="C124" s="308">
        <v>0</v>
      </c>
      <c r="D124" s="308">
        <v>0</v>
      </c>
      <c r="F124" s="294">
        <v>0</v>
      </c>
      <c r="G124" s="294">
        <v>0</v>
      </c>
    </row>
    <row r="125" spans="1:7" x14ac:dyDescent="0.3">
      <c r="A125" s="275" t="s">
        <v>456</v>
      </c>
      <c r="B125" s="275" t="s">
        <v>457</v>
      </c>
      <c r="C125" s="308">
        <v>0</v>
      </c>
      <c r="D125" s="308">
        <v>0</v>
      </c>
      <c r="F125" s="294">
        <v>0</v>
      </c>
      <c r="G125" s="294">
        <v>0</v>
      </c>
    </row>
    <row r="126" spans="1:7" x14ac:dyDescent="0.3">
      <c r="A126" s="275" t="s">
        <v>458</v>
      </c>
      <c r="B126" s="299" t="s">
        <v>459</v>
      </c>
      <c r="C126" s="308">
        <v>0</v>
      </c>
      <c r="D126" s="308">
        <v>0</v>
      </c>
      <c r="F126" s="294">
        <v>0</v>
      </c>
      <c r="G126" s="294">
        <v>0</v>
      </c>
    </row>
    <row r="127" spans="1:7" x14ac:dyDescent="0.3">
      <c r="A127" s="275" t="s">
        <v>460</v>
      </c>
      <c r="B127" s="290" t="s">
        <v>461</v>
      </c>
      <c r="C127" s="308">
        <v>0</v>
      </c>
      <c r="D127" s="308">
        <v>0</v>
      </c>
      <c r="F127" s="294">
        <v>0</v>
      </c>
      <c r="G127" s="294">
        <v>0</v>
      </c>
    </row>
    <row r="128" spans="1:7" x14ac:dyDescent="0.3">
      <c r="A128" s="275" t="s">
        <v>462</v>
      </c>
      <c r="B128" s="290" t="s">
        <v>463</v>
      </c>
      <c r="C128" s="308">
        <v>0</v>
      </c>
      <c r="D128" s="308">
        <v>0</v>
      </c>
      <c r="F128" s="294">
        <v>0</v>
      </c>
      <c r="G128" s="294">
        <v>0</v>
      </c>
    </row>
    <row r="129" spans="1:8" x14ac:dyDescent="0.3">
      <c r="A129" s="275" t="s">
        <v>464</v>
      </c>
      <c r="B129" s="290" t="s">
        <v>465</v>
      </c>
      <c r="C129" s="308">
        <v>0</v>
      </c>
      <c r="D129" s="308">
        <v>0</v>
      </c>
      <c r="F129" s="294">
        <v>0</v>
      </c>
      <c r="G129" s="294">
        <v>0</v>
      </c>
    </row>
    <row r="130" spans="1:8" x14ac:dyDescent="0.3">
      <c r="A130" s="275" t="s">
        <v>466</v>
      </c>
      <c r="B130" s="290" t="s">
        <v>350</v>
      </c>
      <c r="C130" s="308">
        <v>0</v>
      </c>
      <c r="D130" s="308">
        <v>0</v>
      </c>
      <c r="F130" s="294">
        <v>0</v>
      </c>
      <c r="G130" s="294">
        <v>0</v>
      </c>
    </row>
    <row r="131" spans="1:8" x14ac:dyDescent="0.3">
      <c r="A131" s="275" t="s">
        <v>467</v>
      </c>
      <c r="B131" s="300" t="s">
        <v>352</v>
      </c>
      <c r="C131" s="296">
        <f>SUM(C112:C130)</f>
        <v>85276.066473039988</v>
      </c>
      <c r="D131" s="296">
        <f>SUM(D112:D130)</f>
        <v>85276.066473039988</v>
      </c>
      <c r="F131" s="294">
        <f>SUM(F112:F130)</f>
        <v>1</v>
      </c>
      <c r="G131" s="294">
        <f>SUM(G112:G130)</f>
        <v>1</v>
      </c>
    </row>
    <row r="132" spans="1:8" x14ac:dyDescent="0.3">
      <c r="A132" s="275" t="s">
        <v>468</v>
      </c>
      <c r="B132" s="233" t="s">
        <v>354</v>
      </c>
      <c r="F132" s="307"/>
      <c r="G132" s="307"/>
    </row>
    <row r="133" spans="1:8" x14ac:dyDescent="0.3">
      <c r="A133" s="275" t="s">
        <v>469</v>
      </c>
      <c r="B133" s="233" t="s">
        <v>354</v>
      </c>
      <c r="F133" s="307"/>
      <c r="G133" s="307"/>
    </row>
    <row r="134" spans="1:8" x14ac:dyDescent="0.3">
      <c r="A134" s="275" t="s">
        <v>470</v>
      </c>
      <c r="B134" s="233" t="s">
        <v>354</v>
      </c>
      <c r="F134" s="307"/>
      <c r="G134" s="307"/>
    </row>
    <row r="135" spans="1:8" x14ac:dyDescent="0.3">
      <c r="A135" s="275" t="s">
        <v>471</v>
      </c>
      <c r="B135" s="233" t="s">
        <v>354</v>
      </c>
      <c r="F135" s="307"/>
      <c r="G135" s="307"/>
    </row>
    <row r="136" spans="1:8" x14ac:dyDescent="0.3">
      <c r="A136" s="275" t="s">
        <v>472</v>
      </c>
      <c r="B136" s="233" t="s">
        <v>354</v>
      </c>
      <c r="F136" s="307"/>
      <c r="G136" s="307"/>
    </row>
    <row r="137" spans="1:8" x14ac:dyDescent="0.3">
      <c r="A137" s="289"/>
      <c r="B137" s="289" t="s">
        <v>473</v>
      </c>
      <c r="C137" s="289" t="s">
        <v>427</v>
      </c>
      <c r="D137" s="289" t="s">
        <v>428</v>
      </c>
      <c r="E137" s="289"/>
      <c r="F137" s="289" t="s">
        <v>429</v>
      </c>
      <c r="G137" s="289" t="s">
        <v>430</v>
      </c>
    </row>
    <row r="138" spans="1:8" x14ac:dyDescent="0.3">
      <c r="A138" s="275" t="s">
        <v>474</v>
      </c>
      <c r="B138" s="290" t="s">
        <v>261</v>
      </c>
      <c r="C138" s="202">
        <f>C39</f>
        <v>64045.5</v>
      </c>
      <c r="D138" s="202">
        <f>C39</f>
        <v>64045.5</v>
      </c>
      <c r="F138" s="294">
        <v>1</v>
      </c>
      <c r="G138" s="294">
        <v>1</v>
      </c>
      <c r="H138" s="9" t="s">
        <v>475</v>
      </c>
    </row>
    <row r="139" spans="1:8" x14ac:dyDescent="0.3">
      <c r="A139" s="275" t="s">
        <v>476</v>
      </c>
      <c r="B139" s="290" t="s">
        <v>433</v>
      </c>
      <c r="C139" s="309">
        <v>0</v>
      </c>
      <c r="D139" s="309">
        <v>0</v>
      </c>
      <c r="F139" s="294">
        <v>0</v>
      </c>
      <c r="G139" s="294">
        <v>0</v>
      </c>
      <c r="H139" s="9" t="s">
        <v>477</v>
      </c>
    </row>
    <row r="140" spans="1:8" x14ac:dyDescent="0.3">
      <c r="A140" s="275" t="s">
        <v>478</v>
      </c>
      <c r="B140" s="290" t="s">
        <v>435</v>
      </c>
      <c r="C140" s="229">
        <v>0</v>
      </c>
      <c r="D140" s="229">
        <v>0</v>
      </c>
      <c r="F140" s="294">
        <v>0</v>
      </c>
      <c r="G140" s="294">
        <v>0</v>
      </c>
      <c r="H140" s="9" t="s">
        <v>479</v>
      </c>
    </row>
    <row r="141" spans="1:8" x14ac:dyDescent="0.3">
      <c r="A141" s="275" t="s">
        <v>480</v>
      </c>
      <c r="B141" s="290" t="s">
        <v>437</v>
      </c>
      <c r="C141" s="229">
        <v>0</v>
      </c>
      <c r="D141" s="229">
        <v>0</v>
      </c>
      <c r="F141" s="294">
        <v>0</v>
      </c>
      <c r="G141" s="294">
        <v>0</v>
      </c>
      <c r="H141" s="9" t="s">
        <v>481</v>
      </c>
    </row>
    <row r="142" spans="1:8" x14ac:dyDescent="0.3">
      <c r="A142" s="275" t="s">
        <v>482</v>
      </c>
      <c r="B142" s="290" t="s">
        <v>439</v>
      </c>
      <c r="C142" s="229">
        <v>0</v>
      </c>
      <c r="D142" s="229">
        <v>0</v>
      </c>
      <c r="F142" s="294">
        <v>0</v>
      </c>
      <c r="G142" s="294">
        <v>0</v>
      </c>
      <c r="H142" s="9" t="s">
        <v>483</v>
      </c>
    </row>
    <row r="143" spans="1:8" x14ac:dyDescent="0.3">
      <c r="A143" s="275" t="s">
        <v>484</v>
      </c>
      <c r="B143" s="290" t="s">
        <v>441</v>
      </c>
      <c r="C143" s="229">
        <v>0</v>
      </c>
      <c r="D143" s="229">
        <v>0</v>
      </c>
      <c r="F143" s="294">
        <v>0</v>
      </c>
      <c r="G143" s="294">
        <v>0</v>
      </c>
    </row>
    <row r="144" spans="1:8" x14ac:dyDescent="0.3">
      <c r="A144" s="275" t="s">
        <v>485</v>
      </c>
      <c r="B144" s="290" t="s">
        <v>443</v>
      </c>
      <c r="C144" s="229">
        <v>0</v>
      </c>
      <c r="D144" s="229">
        <v>0</v>
      </c>
      <c r="F144" s="294">
        <v>0</v>
      </c>
      <c r="G144" s="294">
        <v>0</v>
      </c>
    </row>
    <row r="145" spans="1:7" x14ac:dyDescent="0.3">
      <c r="A145" s="275" t="s">
        <v>486</v>
      </c>
      <c r="B145" s="290" t="s">
        <v>445</v>
      </c>
      <c r="C145" s="229">
        <v>0</v>
      </c>
      <c r="D145" s="229">
        <v>0</v>
      </c>
      <c r="F145" s="294">
        <v>0</v>
      </c>
      <c r="G145" s="294">
        <v>0</v>
      </c>
    </row>
    <row r="146" spans="1:7" x14ac:dyDescent="0.3">
      <c r="A146" s="275" t="s">
        <v>487</v>
      </c>
      <c r="B146" s="290" t="s">
        <v>447</v>
      </c>
      <c r="C146" s="229">
        <v>0</v>
      </c>
      <c r="D146" s="229">
        <v>0</v>
      </c>
      <c r="F146" s="294">
        <v>0</v>
      </c>
      <c r="G146" s="294">
        <v>0</v>
      </c>
    </row>
    <row r="147" spans="1:7" x14ac:dyDescent="0.3">
      <c r="A147" s="275" t="s">
        <v>488</v>
      </c>
      <c r="B147" s="275" t="s">
        <v>449</v>
      </c>
      <c r="C147" s="229">
        <v>0</v>
      </c>
      <c r="D147" s="229">
        <v>0</v>
      </c>
      <c r="F147" s="294">
        <v>0</v>
      </c>
      <c r="G147" s="294">
        <v>0</v>
      </c>
    </row>
    <row r="148" spans="1:7" x14ac:dyDescent="0.3">
      <c r="A148" s="275" t="s">
        <v>489</v>
      </c>
      <c r="B148" s="290" t="s">
        <v>451</v>
      </c>
      <c r="C148" s="229">
        <v>0</v>
      </c>
      <c r="D148" s="229">
        <v>0</v>
      </c>
      <c r="F148" s="294">
        <v>0</v>
      </c>
      <c r="G148" s="294">
        <v>0</v>
      </c>
    </row>
    <row r="149" spans="1:7" x14ac:dyDescent="0.3">
      <c r="A149" s="275" t="s">
        <v>490</v>
      </c>
      <c r="B149" s="290" t="s">
        <v>453</v>
      </c>
      <c r="C149" s="229">
        <v>0</v>
      </c>
      <c r="D149" s="229">
        <v>0</v>
      </c>
      <c r="F149" s="294">
        <v>0</v>
      </c>
      <c r="G149" s="294">
        <v>0</v>
      </c>
    </row>
    <row r="150" spans="1:7" x14ac:dyDescent="0.3">
      <c r="A150" s="275" t="s">
        <v>491</v>
      </c>
      <c r="B150" s="290" t="s">
        <v>455</v>
      </c>
      <c r="C150" s="229">
        <v>0</v>
      </c>
      <c r="D150" s="229">
        <v>0</v>
      </c>
      <c r="F150" s="294">
        <v>0</v>
      </c>
      <c r="G150" s="294">
        <v>0</v>
      </c>
    </row>
    <row r="151" spans="1:7" x14ac:dyDescent="0.3">
      <c r="A151" s="275" t="s">
        <v>492</v>
      </c>
      <c r="B151" s="275" t="s">
        <v>457</v>
      </c>
      <c r="C151" s="229">
        <v>0</v>
      </c>
      <c r="D151" s="229">
        <v>0</v>
      </c>
      <c r="F151" s="294">
        <v>0</v>
      </c>
      <c r="G151" s="294">
        <v>0</v>
      </c>
    </row>
    <row r="152" spans="1:7" x14ac:dyDescent="0.3">
      <c r="A152" s="275" t="s">
        <v>493</v>
      </c>
      <c r="B152" s="299" t="s">
        <v>459</v>
      </c>
      <c r="C152" s="229">
        <v>0</v>
      </c>
      <c r="D152" s="229">
        <v>0</v>
      </c>
      <c r="F152" s="294">
        <v>0</v>
      </c>
      <c r="G152" s="294">
        <v>0</v>
      </c>
    </row>
    <row r="153" spans="1:7" x14ac:dyDescent="0.3">
      <c r="A153" s="275" t="s">
        <v>494</v>
      </c>
      <c r="B153" s="290" t="s">
        <v>461</v>
      </c>
      <c r="C153" s="229">
        <v>0</v>
      </c>
      <c r="D153" s="229">
        <v>0</v>
      </c>
      <c r="F153" s="294">
        <v>0</v>
      </c>
      <c r="G153" s="294">
        <v>0</v>
      </c>
    </row>
    <row r="154" spans="1:7" x14ac:dyDescent="0.3">
      <c r="A154" s="275" t="s">
        <v>495</v>
      </c>
      <c r="B154" s="290" t="s">
        <v>463</v>
      </c>
      <c r="C154" s="229">
        <v>0</v>
      </c>
      <c r="D154" s="229">
        <v>0</v>
      </c>
      <c r="F154" s="294">
        <v>0</v>
      </c>
      <c r="G154" s="294">
        <v>0</v>
      </c>
    </row>
    <row r="155" spans="1:7" x14ac:dyDescent="0.3">
      <c r="A155" s="275" t="s">
        <v>496</v>
      </c>
      <c r="B155" s="290" t="s">
        <v>465</v>
      </c>
      <c r="C155" s="229">
        <v>0</v>
      </c>
      <c r="D155" s="229">
        <v>0</v>
      </c>
      <c r="F155" s="294">
        <v>0</v>
      </c>
      <c r="G155" s="294">
        <v>0</v>
      </c>
    </row>
    <row r="156" spans="1:7" x14ac:dyDescent="0.3">
      <c r="A156" s="275" t="s">
        <v>497</v>
      </c>
      <c r="B156" s="290" t="s">
        <v>350</v>
      </c>
      <c r="C156" s="229">
        <v>0</v>
      </c>
      <c r="D156" s="229">
        <v>0</v>
      </c>
      <c r="F156" s="294">
        <v>0</v>
      </c>
      <c r="G156" s="294">
        <v>0</v>
      </c>
    </row>
    <row r="157" spans="1:7" x14ac:dyDescent="0.3">
      <c r="A157" s="275" t="s">
        <v>498</v>
      </c>
      <c r="B157" s="300" t="s">
        <v>352</v>
      </c>
      <c r="C157" s="296">
        <f>SUM(C138:C156)</f>
        <v>64045.5</v>
      </c>
      <c r="D157" s="296">
        <f>SUM(D138:D156)</f>
        <v>64045.5</v>
      </c>
      <c r="F157" s="294">
        <f>SUM(F138:F156)</f>
        <v>1</v>
      </c>
      <c r="G157" s="294">
        <f>SUM(G138:G156)</f>
        <v>1</v>
      </c>
    </row>
    <row r="158" spans="1:7" x14ac:dyDescent="0.3">
      <c r="A158" s="275" t="s">
        <v>499</v>
      </c>
      <c r="B158" s="233" t="s">
        <v>354</v>
      </c>
      <c r="F158" s="307"/>
      <c r="G158" s="307"/>
    </row>
    <row r="159" spans="1:7" x14ac:dyDescent="0.3">
      <c r="A159" s="275" t="s">
        <v>500</v>
      </c>
      <c r="B159" s="233" t="s">
        <v>354</v>
      </c>
      <c r="F159" s="307"/>
      <c r="G159" s="307"/>
    </row>
    <row r="160" spans="1:7" x14ac:dyDescent="0.3">
      <c r="A160" s="275" t="s">
        <v>501</v>
      </c>
      <c r="B160" s="233" t="s">
        <v>354</v>
      </c>
      <c r="F160" s="307"/>
      <c r="G160" s="307"/>
    </row>
    <row r="161" spans="1:7" x14ac:dyDescent="0.3">
      <c r="A161" s="275" t="s">
        <v>502</v>
      </c>
      <c r="B161" s="233" t="s">
        <v>354</v>
      </c>
      <c r="F161" s="307"/>
      <c r="G161" s="307"/>
    </row>
    <row r="162" spans="1:7" x14ac:dyDescent="0.3">
      <c r="A162" s="275" t="s">
        <v>503</v>
      </c>
      <c r="B162" s="233" t="s">
        <v>354</v>
      </c>
      <c r="F162" s="307"/>
      <c r="G162" s="307"/>
    </row>
    <row r="163" spans="1:7" x14ac:dyDescent="0.3">
      <c r="A163" s="289"/>
      <c r="B163" s="289" t="s">
        <v>504</v>
      </c>
      <c r="C163" s="289" t="s">
        <v>310</v>
      </c>
      <c r="D163" s="289"/>
      <c r="E163" s="289"/>
      <c r="F163" s="289" t="s">
        <v>505</v>
      </c>
      <c r="G163" s="289"/>
    </row>
    <row r="164" spans="1:7" x14ac:dyDescent="0.3">
      <c r="A164" s="275" t="s">
        <v>506</v>
      </c>
      <c r="B164" s="292" t="s">
        <v>507</v>
      </c>
      <c r="C164" s="202" cm="1">
        <f t="array" ref="C164">(SUMPRODUCT((Cube!$A$2:$A$9999="EMISSIONS")*(Cube!$B$2:$B$9999="Emissions_taux")*(Cube!$C$2:$C$9999="FIX")*(Cube!$E$2:$E$9999))/1000000)</f>
        <v>64005.5</v>
      </c>
      <c r="D164" s="200"/>
      <c r="E164" s="200"/>
      <c r="F164" s="302">
        <f>C164/C$167</f>
        <v>0.99937544402026679</v>
      </c>
      <c r="G164" s="307"/>
    </row>
    <row r="165" spans="1:7" x14ac:dyDescent="0.3">
      <c r="A165" s="275" t="s">
        <v>508</v>
      </c>
      <c r="B165" s="292" t="s">
        <v>509</v>
      </c>
      <c r="C165" s="202" cm="1">
        <f t="array" ref="C165">(SUMPRODUCT((Cube!$A$2:$A$9999="EMISSIONS")*(Cube!$B$2:$B$9999="Emissions_taux")*(Cube!$C$2:$C$9999="VAR")*(Cube!$E$2:$E$9999))/1000000)</f>
        <v>40</v>
      </c>
      <c r="D165" s="200"/>
      <c r="E165" s="200"/>
      <c r="F165" s="302">
        <f>C165/C$167</f>
        <v>6.2455597973315848E-4</v>
      </c>
      <c r="G165" s="307"/>
    </row>
    <row r="166" spans="1:7" x14ac:dyDescent="0.3">
      <c r="A166" s="275" t="s">
        <v>510</v>
      </c>
      <c r="B166" s="292" t="s">
        <v>350</v>
      </c>
      <c r="C166" s="202">
        <v>0</v>
      </c>
      <c r="F166" s="302">
        <f>C166/C$167</f>
        <v>0</v>
      </c>
      <c r="G166" s="307"/>
    </row>
    <row r="167" spans="1:7" x14ac:dyDescent="0.3">
      <c r="A167" s="275" t="s">
        <v>511</v>
      </c>
      <c r="B167" s="310" t="s">
        <v>352</v>
      </c>
      <c r="C167" s="296">
        <f>SUM(C164:C166)</f>
        <v>64045.5</v>
      </c>
      <c r="D167" s="206"/>
      <c r="E167" s="206"/>
      <c r="F167" s="311">
        <f>SUM(F164:F166)</f>
        <v>1</v>
      </c>
      <c r="G167" s="307"/>
    </row>
    <row r="168" spans="1:7" x14ac:dyDescent="0.3">
      <c r="A168" s="275" t="s">
        <v>512</v>
      </c>
      <c r="B168" s="312"/>
    </row>
    <row r="169" spans="1:7" x14ac:dyDescent="0.3">
      <c r="A169" s="275" t="s">
        <v>513</v>
      </c>
      <c r="B169" s="312"/>
    </row>
    <row r="170" spans="1:7" x14ac:dyDescent="0.3">
      <c r="A170" s="275" t="s">
        <v>514</v>
      </c>
      <c r="B170" s="312"/>
    </row>
    <row r="171" spans="1:7" x14ac:dyDescent="0.3">
      <c r="A171" s="275" t="s">
        <v>515</v>
      </c>
      <c r="B171" s="312"/>
    </row>
    <row r="172" spans="1:7" x14ac:dyDescent="0.3">
      <c r="A172" s="275" t="s">
        <v>516</v>
      </c>
      <c r="B172" s="312"/>
    </row>
    <row r="173" spans="1:7" x14ac:dyDescent="0.3">
      <c r="A173" s="289"/>
      <c r="B173" s="289" t="s">
        <v>517</v>
      </c>
      <c r="C173" s="289" t="s">
        <v>310</v>
      </c>
      <c r="D173" s="289"/>
      <c r="E173" s="289"/>
      <c r="F173" s="289" t="s">
        <v>518</v>
      </c>
      <c r="G173" s="289" t="s">
        <v>519</v>
      </c>
    </row>
    <row r="174" spans="1:7" x14ac:dyDescent="0.3">
      <c r="A174" s="275" t="s">
        <v>520</v>
      </c>
      <c r="B174" s="290" t="s">
        <v>521</v>
      </c>
      <c r="C174" s="201">
        <f>'D1.Overview'!D170</f>
        <v>69.532715999999994</v>
      </c>
      <c r="D174" s="202"/>
      <c r="F174" s="302">
        <f>C174/C$179</f>
        <v>0.10381554541487983</v>
      </c>
      <c r="G174" s="198"/>
    </row>
    <row r="175" spans="1:7" x14ac:dyDescent="0.3">
      <c r="A175" s="275" t="s">
        <v>522</v>
      </c>
      <c r="B175" s="290" t="s">
        <v>523</v>
      </c>
      <c r="C175" s="202">
        <v>0</v>
      </c>
      <c r="F175" s="294">
        <v>0</v>
      </c>
      <c r="G175" s="198"/>
    </row>
    <row r="176" spans="1:7" x14ac:dyDescent="0.3">
      <c r="A176" s="275" t="s">
        <v>524</v>
      </c>
      <c r="B176" s="290" t="s">
        <v>525</v>
      </c>
      <c r="C176" s="202">
        <v>0</v>
      </c>
      <c r="F176" s="294">
        <v>0</v>
      </c>
      <c r="G176" s="198"/>
    </row>
    <row r="177" spans="1:8" x14ac:dyDescent="0.3">
      <c r="A177" s="275" t="s">
        <v>526</v>
      </c>
      <c r="B177" s="290" t="s">
        <v>527</v>
      </c>
      <c r="C177" s="202">
        <f>'D1.Overview'!D169</f>
        <v>600.23900000000003</v>
      </c>
      <c r="D177" s="202"/>
      <c r="F177" s="302">
        <f>C177/C$179</f>
        <v>0.8961844545851203</v>
      </c>
      <c r="G177" s="198" t="str">
        <f>IFERROR(D177/#REF!,"")</f>
        <v/>
      </c>
      <c r="H177" s="9" t="s">
        <v>528</v>
      </c>
    </row>
    <row r="178" spans="1:8" x14ac:dyDescent="0.3">
      <c r="A178" s="275" t="s">
        <v>529</v>
      </c>
      <c r="B178" s="290" t="s">
        <v>350</v>
      </c>
      <c r="C178" s="202">
        <v>0</v>
      </c>
      <c r="D178" s="202"/>
      <c r="F178" s="294">
        <v>0</v>
      </c>
      <c r="G178" s="198" t="str">
        <f>IFERROR(D178/#REF!,"")</f>
        <v/>
      </c>
      <c r="H178" s="9" t="s">
        <v>530</v>
      </c>
    </row>
    <row r="179" spans="1:8" x14ac:dyDescent="0.3">
      <c r="A179" s="275" t="s">
        <v>531</v>
      </c>
      <c r="B179" s="300" t="s">
        <v>352</v>
      </c>
      <c r="C179" s="296">
        <f>SUM(C174:C178)</f>
        <v>669.77171599999997</v>
      </c>
      <c r="D179" s="202"/>
      <c r="E179" s="202"/>
      <c r="F179" s="294">
        <f>SUM(F174:F178)</f>
        <v>1.0000000000000002</v>
      </c>
      <c r="G179" s="198" t="str">
        <f>IFERROR(D179/#REF!,"")</f>
        <v/>
      </c>
      <c r="H179" s="9" t="s">
        <v>532</v>
      </c>
    </row>
    <row r="180" spans="1:8" x14ac:dyDescent="0.3">
      <c r="A180" s="275" t="s">
        <v>533</v>
      </c>
      <c r="B180" s="301" t="s">
        <v>534</v>
      </c>
      <c r="C180" s="202"/>
      <c r="D180" s="202"/>
      <c r="F180" s="302" t="str">
        <f>IFERROR(C180/#REF!,"")</f>
        <v/>
      </c>
      <c r="G180" s="198" t="str">
        <f>IFERROR(D180/#REF!,"")</f>
        <v/>
      </c>
      <c r="H180" s="9" t="s">
        <v>535</v>
      </c>
    </row>
    <row r="181" spans="1:8" x14ac:dyDescent="0.3">
      <c r="A181" s="275" t="s">
        <v>536</v>
      </c>
      <c r="B181" s="301" t="s">
        <v>537</v>
      </c>
      <c r="C181" s="202"/>
      <c r="D181" s="202"/>
      <c r="F181" s="302" t="str">
        <f>IFERROR(C181/#REF!,"")</f>
        <v/>
      </c>
      <c r="G181" s="198" t="str">
        <f>IFERROR(D181/#REF!,"")</f>
        <v/>
      </c>
      <c r="H181" s="9" t="s">
        <v>538</v>
      </c>
    </row>
    <row r="182" spans="1:8" x14ac:dyDescent="0.3">
      <c r="A182" s="275" t="s">
        <v>539</v>
      </c>
      <c r="B182" s="301" t="s">
        <v>540</v>
      </c>
      <c r="C182" s="202"/>
      <c r="D182" s="202"/>
      <c r="F182" s="302" t="str">
        <f>IFERROR(C182/#REF!,"")</f>
        <v/>
      </c>
      <c r="G182" s="198" t="str">
        <f>IFERROR(D182/#REF!,"")</f>
        <v/>
      </c>
      <c r="H182" s="9" t="s">
        <v>541</v>
      </c>
    </row>
    <row r="183" spans="1:8" x14ac:dyDescent="0.3">
      <c r="A183" s="275" t="s">
        <v>542</v>
      </c>
      <c r="B183" s="301" t="s">
        <v>543</v>
      </c>
      <c r="F183" s="313"/>
      <c r="G183" s="197"/>
    </row>
    <row r="184" spans="1:8" x14ac:dyDescent="0.3">
      <c r="A184" s="275" t="s">
        <v>544</v>
      </c>
      <c r="B184" s="301" t="s">
        <v>545</v>
      </c>
      <c r="F184" s="313"/>
      <c r="G184" s="197"/>
    </row>
    <row r="185" spans="1:8" x14ac:dyDescent="0.3">
      <c r="A185" s="275" t="s">
        <v>546</v>
      </c>
      <c r="B185" s="301" t="s">
        <v>547</v>
      </c>
      <c r="F185" s="313"/>
      <c r="G185" s="197"/>
    </row>
    <row r="186" spans="1:8" x14ac:dyDescent="0.3">
      <c r="A186" s="275" t="s">
        <v>548</v>
      </c>
      <c r="B186" s="301" t="s">
        <v>549</v>
      </c>
      <c r="F186" s="313"/>
      <c r="G186" s="197"/>
    </row>
    <row r="187" spans="1:8" x14ac:dyDescent="0.3">
      <c r="A187" s="275" t="s">
        <v>550</v>
      </c>
      <c r="B187" s="301" t="s">
        <v>551</v>
      </c>
      <c r="F187" s="313"/>
      <c r="G187" s="197"/>
    </row>
    <row r="188" spans="1:8" x14ac:dyDescent="0.3">
      <c r="A188" s="275" t="s">
        <v>552</v>
      </c>
      <c r="B188" s="241"/>
      <c r="F188" s="197"/>
      <c r="G188" s="197"/>
    </row>
    <row r="189" spans="1:8" x14ac:dyDescent="0.3">
      <c r="A189" s="275" t="s">
        <v>553</v>
      </c>
      <c r="B189" s="241"/>
      <c r="F189" s="197"/>
      <c r="G189" s="197"/>
    </row>
    <row r="190" spans="1:8" x14ac:dyDescent="0.3">
      <c r="A190" s="275" t="s">
        <v>554</v>
      </c>
      <c r="B190" s="241"/>
      <c r="F190" s="197"/>
      <c r="G190" s="197"/>
    </row>
    <row r="191" spans="1:8" x14ac:dyDescent="0.3">
      <c r="A191" s="275" t="s">
        <v>555</v>
      </c>
      <c r="B191" s="233"/>
      <c r="F191" s="197"/>
      <c r="G191" s="197"/>
    </row>
    <row r="192" spans="1:8" x14ac:dyDescent="0.3">
      <c r="A192" s="289"/>
      <c r="B192" s="289" t="s">
        <v>556</v>
      </c>
      <c r="C192" s="289" t="s">
        <v>310</v>
      </c>
      <c r="D192" s="289"/>
      <c r="E192" s="289"/>
      <c r="F192" s="289" t="s">
        <v>518</v>
      </c>
      <c r="G192" s="289"/>
    </row>
    <row r="193" spans="1:9" x14ac:dyDescent="0.3">
      <c r="A193" s="275" t="s">
        <v>557</v>
      </c>
      <c r="B193" s="290" t="s">
        <v>558</v>
      </c>
      <c r="C193" s="202">
        <f>C177</f>
        <v>600.23900000000003</v>
      </c>
      <c r="F193" s="294">
        <v>1</v>
      </c>
    </row>
    <row r="194" spans="1:9" x14ac:dyDescent="0.3">
      <c r="A194" s="275" t="s">
        <v>559</v>
      </c>
      <c r="B194" s="290" t="s">
        <v>560</v>
      </c>
      <c r="C194" s="202">
        <v>0</v>
      </c>
      <c r="F194" s="294">
        <v>0</v>
      </c>
    </row>
    <row r="195" spans="1:9" x14ac:dyDescent="0.3">
      <c r="A195" s="275" t="s">
        <v>561</v>
      </c>
      <c r="B195" s="290" t="s">
        <v>562</v>
      </c>
      <c r="C195" s="202">
        <v>0</v>
      </c>
      <c r="F195" s="294">
        <v>0</v>
      </c>
    </row>
    <row r="196" spans="1:9" x14ac:dyDescent="0.3">
      <c r="A196" s="275" t="s">
        <v>563</v>
      </c>
      <c r="B196" s="290" t="s">
        <v>564</v>
      </c>
      <c r="C196" s="202">
        <v>0</v>
      </c>
      <c r="D196" s="202"/>
      <c r="F196" s="294">
        <v>0</v>
      </c>
      <c r="G196" s="198"/>
      <c r="H196" s="9" t="s">
        <v>565</v>
      </c>
      <c r="I196" s="9"/>
    </row>
    <row r="197" spans="1:9" x14ac:dyDescent="0.3">
      <c r="A197" s="275" t="s">
        <v>566</v>
      </c>
      <c r="B197" s="290" t="s">
        <v>567</v>
      </c>
      <c r="C197" s="202">
        <v>0</v>
      </c>
      <c r="D197" s="202"/>
      <c r="F197" s="294">
        <v>0</v>
      </c>
      <c r="G197" s="198"/>
      <c r="H197" s="9" t="s">
        <v>568</v>
      </c>
      <c r="I197" s="9"/>
    </row>
    <row r="198" spans="1:9" x14ac:dyDescent="0.3">
      <c r="A198" s="275" t="s">
        <v>569</v>
      </c>
      <c r="B198" s="275" t="s">
        <v>570</v>
      </c>
      <c r="C198" s="202">
        <v>0</v>
      </c>
      <c r="D198" s="202"/>
      <c r="F198" s="294">
        <v>0</v>
      </c>
      <c r="G198" s="198"/>
      <c r="H198" s="9" t="s">
        <v>571</v>
      </c>
      <c r="I198" s="9"/>
    </row>
    <row r="199" spans="1:9" x14ac:dyDescent="0.3">
      <c r="A199" s="275" t="s">
        <v>572</v>
      </c>
      <c r="B199" s="290" t="s">
        <v>573</v>
      </c>
      <c r="C199" s="202">
        <v>0</v>
      </c>
      <c r="D199" s="202"/>
      <c r="F199" s="294">
        <v>0</v>
      </c>
      <c r="G199" s="198"/>
      <c r="H199" s="9" t="s">
        <v>574</v>
      </c>
      <c r="I199" s="9"/>
    </row>
    <row r="200" spans="1:9" x14ac:dyDescent="0.3">
      <c r="A200" s="275" t="s">
        <v>575</v>
      </c>
      <c r="B200" s="290" t="s">
        <v>576</v>
      </c>
      <c r="C200" s="202">
        <v>0</v>
      </c>
      <c r="D200" s="202"/>
      <c r="F200" s="294">
        <v>0</v>
      </c>
      <c r="G200" s="198"/>
      <c r="H200" s="9" t="s">
        <v>577</v>
      </c>
      <c r="I200" s="9"/>
    </row>
    <row r="201" spans="1:9" x14ac:dyDescent="0.3">
      <c r="A201" s="275" t="s">
        <v>578</v>
      </c>
      <c r="B201" s="290" t="s">
        <v>579</v>
      </c>
      <c r="C201" s="202">
        <v>0</v>
      </c>
      <c r="D201" s="202"/>
      <c r="F201" s="294">
        <v>0</v>
      </c>
      <c r="G201" s="198"/>
      <c r="H201" s="9" t="s">
        <v>580</v>
      </c>
      <c r="I201" s="9" t="s">
        <v>581</v>
      </c>
    </row>
    <row r="202" spans="1:9" x14ac:dyDescent="0.3">
      <c r="A202" s="275" t="s">
        <v>582</v>
      </c>
      <c r="B202" s="290" t="s">
        <v>583</v>
      </c>
      <c r="C202" s="202">
        <v>0</v>
      </c>
      <c r="D202" s="202"/>
      <c r="F202" s="294">
        <v>0</v>
      </c>
      <c r="G202" s="198"/>
      <c r="H202" s="9" t="s">
        <v>584</v>
      </c>
      <c r="I202" s="9" t="s">
        <v>585</v>
      </c>
    </row>
    <row r="203" spans="1:9" x14ac:dyDescent="0.3">
      <c r="A203" s="275" t="s">
        <v>586</v>
      </c>
      <c r="B203" s="290" t="s">
        <v>587</v>
      </c>
      <c r="C203" s="202">
        <v>0</v>
      </c>
      <c r="D203" s="202"/>
      <c r="F203" s="294">
        <v>0</v>
      </c>
      <c r="G203" s="198"/>
      <c r="H203" s="9" t="s">
        <v>588</v>
      </c>
      <c r="I203" s="9" t="s">
        <v>589</v>
      </c>
    </row>
    <row r="204" spans="1:9" x14ac:dyDescent="0.3">
      <c r="A204" s="275" t="s">
        <v>590</v>
      </c>
      <c r="B204" s="290" t="s">
        <v>591</v>
      </c>
      <c r="C204" s="202">
        <v>0</v>
      </c>
      <c r="D204" s="202"/>
      <c r="F204" s="294">
        <v>0</v>
      </c>
      <c r="G204" s="198"/>
      <c r="H204" s="9"/>
      <c r="I204" s="9"/>
    </row>
    <row r="205" spans="1:9" x14ac:dyDescent="0.3">
      <c r="A205" s="275" t="s">
        <v>592</v>
      </c>
      <c r="B205" s="290" t="s">
        <v>593</v>
      </c>
      <c r="C205" s="202">
        <v>0</v>
      </c>
      <c r="F205" s="294">
        <v>0</v>
      </c>
    </row>
    <row r="206" spans="1:9" x14ac:dyDescent="0.3">
      <c r="A206" s="275" t="s">
        <v>594</v>
      </c>
      <c r="B206" s="290" t="s">
        <v>595</v>
      </c>
      <c r="C206" s="202">
        <v>0</v>
      </c>
      <c r="F206" s="294">
        <v>0</v>
      </c>
    </row>
    <row r="207" spans="1:9" x14ac:dyDescent="0.3">
      <c r="A207" s="275" t="s">
        <v>596</v>
      </c>
      <c r="B207" s="290" t="s">
        <v>350</v>
      </c>
      <c r="C207" s="202">
        <v>0</v>
      </c>
      <c r="F207" s="294">
        <v>0</v>
      </c>
    </row>
    <row r="208" spans="1:9" x14ac:dyDescent="0.3">
      <c r="A208" s="275" t="s">
        <v>597</v>
      </c>
      <c r="B208" s="295" t="s">
        <v>598</v>
      </c>
      <c r="C208" s="202">
        <f>SUM(C193:C196)</f>
        <v>600.23900000000003</v>
      </c>
      <c r="F208" s="294">
        <f>SUM(F193:F196)</f>
        <v>1</v>
      </c>
    </row>
    <row r="209" spans="1:9" x14ac:dyDescent="0.3">
      <c r="A209" s="275" t="s">
        <v>599</v>
      </c>
      <c r="B209" s="300" t="s">
        <v>352</v>
      </c>
      <c r="C209" s="296">
        <f>SUM(C193:C206)</f>
        <v>600.23900000000003</v>
      </c>
      <c r="F209" s="294">
        <f>SUM(F193:F206)</f>
        <v>1</v>
      </c>
    </row>
    <row r="210" spans="1:9" x14ac:dyDescent="0.3">
      <c r="A210" s="275" t="s">
        <v>600</v>
      </c>
      <c r="B210" s="233" t="s">
        <v>354</v>
      </c>
      <c r="F210" s="307"/>
    </row>
    <row r="211" spans="1:9" x14ac:dyDescent="0.3">
      <c r="A211" s="275" t="s">
        <v>601</v>
      </c>
      <c r="B211" s="233" t="s">
        <v>354</v>
      </c>
      <c r="F211" s="307"/>
    </row>
    <row r="212" spans="1:9" x14ac:dyDescent="0.3">
      <c r="A212" s="275" t="s">
        <v>602</v>
      </c>
      <c r="B212" s="233" t="s">
        <v>354</v>
      </c>
      <c r="F212" s="307"/>
    </row>
    <row r="213" spans="1:9" x14ac:dyDescent="0.3">
      <c r="A213" s="275" t="s">
        <v>603</v>
      </c>
      <c r="B213" s="233" t="s">
        <v>354</v>
      </c>
      <c r="F213" s="307"/>
    </row>
    <row r="214" spans="1:9" x14ac:dyDescent="0.3">
      <c r="A214" s="275" t="s">
        <v>604</v>
      </c>
      <c r="B214" s="233" t="s">
        <v>354</v>
      </c>
      <c r="F214" s="307"/>
    </row>
    <row r="215" spans="1:9" x14ac:dyDescent="0.3">
      <c r="A215" s="275" t="s">
        <v>605</v>
      </c>
      <c r="B215" s="233" t="s">
        <v>354</v>
      </c>
      <c r="F215" s="307"/>
    </row>
    <row r="216" spans="1:9" x14ac:dyDescent="0.3">
      <c r="A216" s="289"/>
      <c r="B216" s="289" t="s">
        <v>606</v>
      </c>
      <c r="C216" s="289" t="s">
        <v>310</v>
      </c>
      <c r="D216" s="289"/>
      <c r="E216" s="289"/>
      <c r="F216" s="289" t="s">
        <v>340</v>
      </c>
      <c r="G216" s="289" t="s">
        <v>505</v>
      </c>
    </row>
    <row r="217" spans="1:9" x14ac:dyDescent="0.3">
      <c r="A217" s="275" t="s">
        <v>607</v>
      </c>
      <c r="B217" s="299" t="s">
        <v>608</v>
      </c>
      <c r="C217" s="202">
        <v>0</v>
      </c>
      <c r="F217" s="294">
        <v>0</v>
      </c>
      <c r="G217" s="294">
        <f>F217</f>
        <v>0</v>
      </c>
    </row>
    <row r="218" spans="1:9" x14ac:dyDescent="0.3">
      <c r="A218" s="275" t="s">
        <v>609</v>
      </c>
      <c r="B218" s="299" t="s">
        <v>610</v>
      </c>
      <c r="C218" s="202">
        <f>C177</f>
        <v>600.23900000000003</v>
      </c>
      <c r="F218" s="294">
        <f>C218/C$220</f>
        <v>0.8961844545851203</v>
      </c>
      <c r="G218" s="294">
        <f>F218</f>
        <v>0.8961844545851203</v>
      </c>
    </row>
    <row r="219" spans="1:9" x14ac:dyDescent="0.3">
      <c r="A219" s="275" t="s">
        <v>611</v>
      </c>
      <c r="B219" s="299" t="s">
        <v>350</v>
      </c>
      <c r="C219" s="202">
        <f>C174</f>
        <v>69.532715999999994</v>
      </c>
      <c r="F219" s="294">
        <f>C219/C$220</f>
        <v>0.10381554541487983</v>
      </c>
      <c r="G219" s="294">
        <f>F219</f>
        <v>0.10381554541487983</v>
      </c>
    </row>
    <row r="220" spans="1:9" x14ac:dyDescent="0.3">
      <c r="A220" s="275" t="s">
        <v>612</v>
      </c>
      <c r="B220" s="300" t="s">
        <v>352</v>
      </c>
      <c r="C220" s="314">
        <f>SUM(C217:C219)</f>
        <v>669.77171599999997</v>
      </c>
      <c r="D220" s="202"/>
      <c r="F220" s="294">
        <f>SUM(F217:F219)</f>
        <v>1.0000000000000002</v>
      </c>
      <c r="G220" s="294">
        <f>F220</f>
        <v>1.0000000000000002</v>
      </c>
      <c r="H220" s="9" t="s">
        <v>565</v>
      </c>
      <c r="I220" s="9"/>
    </row>
    <row r="221" spans="1:9" x14ac:dyDescent="0.3">
      <c r="A221" s="275" t="s">
        <v>613</v>
      </c>
      <c r="B221" s="233" t="s">
        <v>354</v>
      </c>
      <c r="C221" s="202"/>
      <c r="D221" s="202"/>
      <c r="F221" s="302" t="str">
        <f>IFERROR(C221/#REF!,"")</f>
        <v/>
      </c>
      <c r="G221" s="302" t="str">
        <f>IFERROR(D221/#REF!,"")</f>
        <v/>
      </c>
      <c r="H221" s="9" t="s">
        <v>568</v>
      </c>
      <c r="I221" s="9"/>
    </row>
    <row r="222" spans="1:9" x14ac:dyDescent="0.3">
      <c r="A222" s="275" t="s">
        <v>614</v>
      </c>
      <c r="B222" s="233" t="s">
        <v>354</v>
      </c>
      <c r="C222" s="202"/>
      <c r="D222" s="202"/>
      <c r="F222" s="302" t="str">
        <f>IFERROR(C222/#REF!,"")</f>
        <v/>
      </c>
      <c r="G222" s="302" t="str">
        <f>IFERROR(D222/#REF!,"")</f>
        <v/>
      </c>
      <c r="H222" s="9" t="s">
        <v>571</v>
      </c>
      <c r="I222" s="9"/>
    </row>
    <row r="223" spans="1:9" x14ac:dyDescent="0.3">
      <c r="A223" s="275" t="s">
        <v>615</v>
      </c>
      <c r="B223" s="233" t="s">
        <v>354</v>
      </c>
      <c r="C223" s="202"/>
      <c r="D223" s="202"/>
      <c r="F223" s="302" t="str">
        <f>IFERROR(C223/#REF!,"")</f>
        <v/>
      </c>
      <c r="G223" s="302" t="str">
        <f>IFERROR(D223/#REF!,"")</f>
        <v/>
      </c>
      <c r="H223" s="9" t="s">
        <v>574</v>
      </c>
      <c r="I223" s="9"/>
    </row>
    <row r="224" spans="1:9" x14ac:dyDescent="0.3">
      <c r="A224" s="275" t="s">
        <v>616</v>
      </c>
      <c r="B224" s="233" t="s">
        <v>354</v>
      </c>
      <c r="C224" s="202"/>
      <c r="D224" s="202"/>
      <c r="F224" s="302" t="str">
        <f>IFERROR(C224/#REF!,"")</f>
        <v/>
      </c>
      <c r="G224" s="302" t="str">
        <f>IFERROR(D224/#REF!,"")</f>
        <v/>
      </c>
      <c r="H224" s="9" t="s">
        <v>577</v>
      </c>
      <c r="I224" s="9"/>
    </row>
    <row r="225" spans="1:9" x14ac:dyDescent="0.3">
      <c r="A225" s="275" t="s">
        <v>617</v>
      </c>
      <c r="B225" s="233" t="s">
        <v>354</v>
      </c>
      <c r="C225" s="202"/>
      <c r="D225" s="202"/>
      <c r="F225" s="302" t="str">
        <f>IFERROR(C225/#REF!,"")</f>
        <v/>
      </c>
      <c r="G225" s="302" t="str">
        <f>IFERROR(D225/#REF!,"")</f>
        <v/>
      </c>
      <c r="H225" s="9" t="s">
        <v>580</v>
      </c>
      <c r="I225" s="9" t="s">
        <v>581</v>
      </c>
    </row>
    <row r="226" spans="1:9" x14ac:dyDescent="0.3">
      <c r="A226" s="275" t="s">
        <v>618</v>
      </c>
      <c r="B226" s="233" t="s">
        <v>354</v>
      </c>
      <c r="C226" s="202"/>
      <c r="D226" s="202"/>
      <c r="F226" s="302" t="str">
        <f>IFERROR(C226/#REF!,"")</f>
        <v/>
      </c>
      <c r="G226" s="302" t="str">
        <f>IFERROR(D226/#REF!,"")</f>
        <v/>
      </c>
      <c r="H226" s="9" t="s">
        <v>584</v>
      </c>
      <c r="I226" s="9" t="s">
        <v>585</v>
      </c>
    </row>
    <row r="227" spans="1:9" x14ac:dyDescent="0.3">
      <c r="A227" s="275" t="s">
        <v>619</v>
      </c>
      <c r="B227" s="233" t="s">
        <v>354</v>
      </c>
      <c r="C227" s="202"/>
      <c r="D227" s="202"/>
      <c r="F227" s="302" t="str">
        <f>IFERROR(C227/#REF!,"")</f>
        <v/>
      </c>
      <c r="G227" s="302" t="str">
        <f>IFERROR(D227/#REF!,"")</f>
        <v/>
      </c>
      <c r="H227" s="9" t="s">
        <v>588</v>
      </c>
      <c r="I227" s="9" t="s">
        <v>589</v>
      </c>
    </row>
    <row r="228" spans="1:9" x14ac:dyDescent="0.3">
      <c r="A228" s="289"/>
      <c r="B228" s="289" t="s">
        <v>620</v>
      </c>
      <c r="C228" s="289"/>
      <c r="D228" s="289"/>
      <c r="E228" s="289"/>
      <c r="F228" s="289"/>
      <c r="G228" s="289"/>
    </row>
    <row r="229" spans="1:9" ht="30" customHeight="1" x14ac:dyDescent="0.3">
      <c r="A229" s="275" t="s">
        <v>621</v>
      </c>
      <c r="B229" s="290" t="s">
        <v>622</v>
      </c>
      <c r="C229" s="315" t="s">
        <v>623</v>
      </c>
    </row>
    <row r="230" spans="1:9" x14ac:dyDescent="0.3">
      <c r="A230" s="289"/>
      <c r="B230" s="289" t="s">
        <v>624</v>
      </c>
      <c r="C230" s="289"/>
      <c r="D230" s="289"/>
      <c r="E230" s="289"/>
      <c r="F230" s="289"/>
      <c r="G230" s="289"/>
    </row>
    <row r="231" spans="1:9" x14ac:dyDescent="0.3">
      <c r="A231" s="275" t="s">
        <v>625</v>
      </c>
      <c r="B231" s="275" t="s">
        <v>626</v>
      </c>
      <c r="C231" s="202">
        <v>0</v>
      </c>
      <c r="D231" s="9" t="s">
        <v>627</v>
      </c>
      <c r="E231" s="9" t="s">
        <v>628</v>
      </c>
      <c r="F231" s="9" t="s">
        <v>629</v>
      </c>
      <c r="H231" s="9" t="s">
        <v>630</v>
      </c>
    </row>
    <row r="232" spans="1:9" x14ac:dyDescent="0.3">
      <c r="A232" s="275" t="s">
        <v>631</v>
      </c>
      <c r="B232" s="316" t="s">
        <v>632</v>
      </c>
      <c r="C232" s="198" t="s">
        <v>633</v>
      </c>
      <c r="D232" s="9" t="s">
        <v>634</v>
      </c>
      <c r="E232" s="9" t="s">
        <v>635</v>
      </c>
      <c r="F232" s="9" t="s">
        <v>636</v>
      </c>
      <c r="H232" s="9" t="s">
        <v>637</v>
      </c>
    </row>
    <row r="233" spans="1:9" x14ac:dyDescent="0.3">
      <c r="A233" s="275" t="s">
        <v>638</v>
      </c>
      <c r="B233" s="316" t="s">
        <v>639</v>
      </c>
      <c r="C233" s="198" t="s">
        <v>633</v>
      </c>
    </row>
    <row r="234" spans="1:9" x14ac:dyDescent="0.3">
      <c r="A234" s="275" t="s">
        <v>640</v>
      </c>
      <c r="B234" s="293" t="s">
        <v>641</v>
      </c>
    </row>
    <row r="235" spans="1:9" x14ac:dyDescent="0.3">
      <c r="A235" s="275" t="s">
        <v>642</v>
      </c>
      <c r="B235" s="293" t="s">
        <v>643</v>
      </c>
    </row>
    <row r="236" spans="1:9" x14ac:dyDescent="0.3">
      <c r="A236" s="275" t="s">
        <v>644</v>
      </c>
      <c r="B236" s="293" t="s">
        <v>645</v>
      </c>
    </row>
    <row r="237" spans="1:9" x14ac:dyDescent="0.3">
      <c r="A237" s="275" t="s">
        <v>646</v>
      </c>
      <c r="B237" s="229"/>
    </row>
    <row r="238" spans="1:9" x14ac:dyDescent="0.3">
      <c r="A238" s="275" t="s">
        <v>647</v>
      </c>
      <c r="B238" s="229"/>
    </row>
    <row r="239" spans="1:9" x14ac:dyDescent="0.3">
      <c r="A239" s="289"/>
      <c r="B239" s="289" t="s">
        <v>648</v>
      </c>
      <c r="C239" s="289"/>
      <c r="D239" s="289"/>
      <c r="E239" s="289"/>
      <c r="F239" s="289"/>
      <c r="G239" s="289"/>
    </row>
    <row r="240" spans="1:9" x14ac:dyDescent="0.3">
      <c r="A240" s="275" t="s">
        <v>649</v>
      </c>
      <c r="B240" s="275" t="s">
        <v>650</v>
      </c>
      <c r="C240" s="194" t="s">
        <v>651</v>
      </c>
      <c r="D240" s="194"/>
    </row>
    <row r="241" spans="1:4" x14ac:dyDescent="0.3">
      <c r="A241" s="275" t="s">
        <v>652</v>
      </c>
      <c r="B241" s="275" t="s">
        <v>653</v>
      </c>
      <c r="C241" s="194" t="s">
        <v>654</v>
      </c>
      <c r="D241" s="194"/>
    </row>
    <row r="242" spans="1:4" x14ac:dyDescent="0.3">
      <c r="A242" s="275" t="s">
        <v>655</v>
      </c>
      <c r="B242" s="275" t="s">
        <v>656</v>
      </c>
      <c r="C242" s="194" t="s">
        <v>654</v>
      </c>
      <c r="D242" s="194"/>
    </row>
    <row r="243" spans="1:4" x14ac:dyDescent="0.3">
      <c r="A243" s="275" t="s">
        <v>657</v>
      </c>
      <c r="B243" s="275" t="s">
        <v>658</v>
      </c>
      <c r="C243" s="194" t="s">
        <v>659</v>
      </c>
      <c r="D243" s="194"/>
    </row>
    <row r="244" spans="1:4" x14ac:dyDescent="0.3">
      <c r="A244" s="275" t="s">
        <v>660</v>
      </c>
      <c r="B244" s="275" t="s">
        <v>661</v>
      </c>
      <c r="C244" s="317" t="s">
        <v>662</v>
      </c>
      <c r="D244" s="297" t="s">
        <v>663</v>
      </c>
    </row>
    <row r="245" spans="1:4" x14ac:dyDescent="0.3">
      <c r="A245" s="275" t="s">
        <v>664</v>
      </c>
      <c r="B245" s="275" t="s">
        <v>665</v>
      </c>
      <c r="C245" s="194" t="s">
        <v>651</v>
      </c>
      <c r="D245" s="194"/>
    </row>
    <row r="246" spans="1:4" x14ac:dyDescent="0.3">
      <c r="A246" s="275" t="s">
        <v>666</v>
      </c>
      <c r="B246" s="275" t="s">
        <v>667</v>
      </c>
    </row>
    <row r="247" spans="1:4" x14ac:dyDescent="0.3">
      <c r="A247" s="275" t="s">
        <v>668</v>
      </c>
      <c r="B247" s="229"/>
    </row>
    <row r="248" spans="1:4" x14ac:dyDescent="0.3">
      <c r="A248" s="275" t="s">
        <v>669</v>
      </c>
      <c r="B248" s="229"/>
    </row>
    <row r="249" spans="1:4" x14ac:dyDescent="0.3">
      <c r="A249" s="275" t="s">
        <v>670</v>
      </c>
      <c r="B249" s="229"/>
    </row>
    <row r="250" spans="1:4" x14ac:dyDescent="0.3">
      <c r="A250" s="275" t="s">
        <v>671</v>
      </c>
      <c r="B250" s="229"/>
    </row>
    <row r="251" spans="1:4" x14ac:dyDescent="0.3">
      <c r="A251" s="275" t="s">
        <v>672</v>
      </c>
      <c r="B251" s="229"/>
    </row>
    <row r="252" spans="1:4" x14ac:dyDescent="0.3">
      <c r="A252" s="275" t="s">
        <v>673</v>
      </c>
      <c r="B252" s="229"/>
    </row>
    <row r="253" spans="1:4" x14ac:dyDescent="0.3">
      <c r="A253" s="275" t="s">
        <v>674</v>
      </c>
      <c r="B253" s="229"/>
    </row>
    <row r="254" spans="1:4" x14ac:dyDescent="0.3">
      <c r="A254" s="275" t="s">
        <v>675</v>
      </c>
      <c r="B254" s="229"/>
    </row>
    <row r="255" spans="1:4" x14ac:dyDescent="0.3">
      <c r="A255" s="275" t="s">
        <v>676</v>
      </c>
      <c r="B255" s="229"/>
    </row>
    <row r="256" spans="1:4" x14ac:dyDescent="0.3">
      <c r="A256" s="275" t="s">
        <v>677</v>
      </c>
      <c r="B256" s="229"/>
    </row>
    <row r="257" spans="1:7" x14ac:dyDescent="0.3">
      <c r="A257" s="275" t="s">
        <v>678</v>
      </c>
      <c r="B257" s="229"/>
    </row>
    <row r="258" spans="1:7" x14ac:dyDescent="0.3">
      <c r="A258" s="275" t="s">
        <v>679</v>
      </c>
      <c r="B258" s="229"/>
      <c r="C258" s="194"/>
      <c r="D258" s="194"/>
      <c r="F258" s="198"/>
      <c r="G258" s="198"/>
    </row>
    <row r="259" spans="1:7" x14ac:dyDescent="0.3">
      <c r="A259" s="275" t="s">
        <v>680</v>
      </c>
      <c r="B259" s="229"/>
    </row>
    <row r="260" spans="1:7" x14ac:dyDescent="0.3">
      <c r="A260" s="275" t="s">
        <v>681</v>
      </c>
      <c r="B260" s="229"/>
    </row>
    <row r="261" spans="1:7" x14ac:dyDescent="0.3">
      <c r="A261" s="275" t="s">
        <v>682</v>
      </c>
      <c r="B261" s="229"/>
    </row>
    <row r="262" spans="1:7" x14ac:dyDescent="0.3">
      <c r="A262" s="275" t="s">
        <v>683</v>
      </c>
      <c r="B262" s="229"/>
    </row>
    <row r="263" spans="1:7" x14ac:dyDescent="0.3">
      <c r="A263" s="275" t="s">
        <v>684</v>
      </c>
      <c r="B263" s="229"/>
    </row>
    <row r="264" spans="1:7" x14ac:dyDescent="0.3">
      <c r="A264" s="275" t="s">
        <v>685</v>
      </c>
      <c r="B264" s="229"/>
    </row>
    <row r="265" spans="1:7" x14ac:dyDescent="0.3">
      <c r="A265" s="275" t="s">
        <v>686</v>
      </c>
      <c r="B265" s="229"/>
    </row>
    <row r="266" spans="1:7" x14ac:dyDescent="0.3">
      <c r="A266" s="275" t="s">
        <v>687</v>
      </c>
      <c r="B266" s="229"/>
    </row>
    <row r="267" spans="1:7" x14ac:dyDescent="0.3">
      <c r="A267" s="275" t="s">
        <v>688</v>
      </c>
      <c r="B267" s="229"/>
    </row>
    <row r="268" spans="1:7" x14ac:dyDescent="0.3">
      <c r="A268" s="275" t="s">
        <v>689</v>
      </c>
      <c r="B268" s="229"/>
    </row>
    <row r="269" spans="1:7" x14ac:dyDescent="0.3">
      <c r="A269" s="275" t="s">
        <v>690</v>
      </c>
      <c r="B269" s="229"/>
    </row>
    <row r="270" spans="1:7" x14ac:dyDescent="0.3">
      <c r="A270" s="275" t="s">
        <v>691</v>
      </c>
      <c r="B270" s="229"/>
    </row>
    <row r="271" spans="1:7" x14ac:dyDescent="0.3">
      <c r="A271" s="275" t="s">
        <v>692</v>
      </c>
      <c r="B271" s="229"/>
    </row>
    <row r="272" spans="1:7" x14ac:dyDescent="0.3">
      <c r="A272" s="275" t="s">
        <v>693</v>
      </c>
      <c r="B272" s="229"/>
    </row>
    <row r="273" spans="1:7" x14ac:dyDescent="0.3">
      <c r="A273" s="275" t="s">
        <v>694</v>
      </c>
      <c r="B273" s="229"/>
    </row>
    <row r="274" spans="1:7" x14ac:dyDescent="0.3">
      <c r="A274" s="275" t="s">
        <v>695</v>
      </c>
      <c r="B274" s="229"/>
    </row>
    <row r="275" spans="1:7" x14ac:dyDescent="0.3">
      <c r="A275" s="275" t="s">
        <v>696</v>
      </c>
      <c r="B275" s="229"/>
    </row>
    <row r="276" spans="1:7" x14ac:dyDescent="0.3">
      <c r="A276" s="275" t="s">
        <v>697</v>
      </c>
      <c r="B276" s="229"/>
    </row>
    <row r="277" spans="1:7" x14ac:dyDescent="0.3">
      <c r="A277" s="275" t="s">
        <v>698</v>
      </c>
      <c r="B277" s="229"/>
    </row>
    <row r="278" spans="1:7" x14ac:dyDescent="0.3">
      <c r="A278" s="275" t="s">
        <v>699</v>
      </c>
      <c r="B278" s="229"/>
    </row>
    <row r="279" spans="1:7" x14ac:dyDescent="0.3">
      <c r="A279" s="275" t="s">
        <v>700</v>
      </c>
      <c r="B279" s="229"/>
    </row>
    <row r="280" spans="1:7" x14ac:dyDescent="0.3">
      <c r="A280" s="275" t="s">
        <v>701</v>
      </c>
      <c r="B280" s="229"/>
    </row>
    <row r="281" spans="1:7" x14ac:dyDescent="0.3">
      <c r="A281" s="275" t="s">
        <v>702</v>
      </c>
      <c r="B281" s="229"/>
    </row>
    <row r="282" spans="1:7" x14ac:dyDescent="0.3">
      <c r="A282" s="275" t="s">
        <v>703</v>
      </c>
      <c r="B282" s="229"/>
    </row>
    <row r="283" spans="1:7" x14ac:dyDescent="0.3">
      <c r="A283" s="275" t="s">
        <v>704</v>
      </c>
      <c r="B283" s="229"/>
    </row>
    <row r="284" spans="1:7" x14ac:dyDescent="0.3">
      <c r="A284" s="275" t="s">
        <v>705</v>
      </c>
      <c r="B284" s="229"/>
    </row>
    <row r="285" spans="1:7" ht="18.75" customHeight="1" x14ac:dyDescent="0.3">
      <c r="A285" s="273"/>
      <c r="B285" s="273" t="s">
        <v>706</v>
      </c>
      <c r="C285" s="273" t="s">
        <v>707</v>
      </c>
      <c r="D285" s="273" t="s">
        <v>707</v>
      </c>
      <c r="E285" s="273"/>
      <c r="F285" s="273"/>
      <c r="G285" s="273"/>
    </row>
    <row r="286" spans="1:7" x14ac:dyDescent="0.3">
      <c r="A286" s="318" t="s">
        <v>708</v>
      </c>
      <c r="B286" s="319"/>
    </row>
    <row r="287" spans="1:7" x14ac:dyDescent="0.3">
      <c r="A287" s="318" t="s">
        <v>709</v>
      </c>
      <c r="B287" s="319"/>
    </row>
    <row r="288" spans="1:7" x14ac:dyDescent="0.3">
      <c r="A288" s="275" t="s">
        <v>710</v>
      </c>
      <c r="B288" s="293" t="s">
        <v>711</v>
      </c>
      <c r="C288" s="317">
        <v>38</v>
      </c>
      <c r="D288" s="194"/>
      <c r="E288" s="194"/>
      <c r="F288" s="194"/>
      <c r="G288" s="194"/>
    </row>
    <row r="289" spans="1:7" x14ac:dyDescent="0.3">
      <c r="A289" s="275" t="s">
        <v>712</v>
      </c>
      <c r="B289" s="293" t="s">
        <v>713</v>
      </c>
      <c r="C289" s="317">
        <v>39</v>
      </c>
      <c r="D289" s="194"/>
      <c r="E289" s="194"/>
      <c r="F289" s="194"/>
      <c r="G289" s="194"/>
    </row>
    <row r="290" spans="1:7" x14ac:dyDescent="0.3">
      <c r="A290" s="275" t="s">
        <v>714</v>
      </c>
      <c r="B290" s="293" t="s">
        <v>715</v>
      </c>
      <c r="C290" s="222"/>
      <c r="D290" s="194"/>
      <c r="E290" s="194"/>
      <c r="F290" s="194"/>
      <c r="G290" s="194"/>
    </row>
    <row r="291" spans="1:7" x14ac:dyDescent="0.3">
      <c r="A291" s="275" t="s">
        <v>716</v>
      </c>
      <c r="B291" s="293" t="s">
        <v>717</v>
      </c>
      <c r="C291" s="317" t="s">
        <v>718</v>
      </c>
      <c r="D291" s="317" t="s">
        <v>719</v>
      </c>
      <c r="E291" s="194"/>
      <c r="F291" s="194"/>
      <c r="G291" s="194"/>
    </row>
    <row r="292" spans="1:7" x14ac:dyDescent="0.3">
      <c r="A292" s="275" t="s">
        <v>720</v>
      </c>
      <c r="B292" s="293" t="s">
        <v>721</v>
      </c>
      <c r="C292" s="317">
        <v>52</v>
      </c>
      <c r="D292" s="194"/>
      <c r="E292" s="194"/>
      <c r="F292" s="194"/>
      <c r="G292" s="194"/>
    </row>
    <row r="293" spans="1:7" x14ac:dyDescent="0.3">
      <c r="A293" s="275" t="s">
        <v>722</v>
      </c>
      <c r="B293" s="293" t="s">
        <v>723</v>
      </c>
      <c r="C293" s="317" t="s">
        <v>724</v>
      </c>
      <c r="D293" s="317" t="s">
        <v>725</v>
      </c>
      <c r="E293" s="194"/>
      <c r="F293" s="317" t="s">
        <v>726</v>
      </c>
      <c r="G293" s="317" t="s">
        <v>727</v>
      </c>
    </row>
    <row r="294" spans="1:7" x14ac:dyDescent="0.3">
      <c r="A294" s="275" t="s">
        <v>728</v>
      </c>
      <c r="B294" s="293" t="s">
        <v>729</v>
      </c>
      <c r="C294" s="297" t="s">
        <v>730</v>
      </c>
      <c r="D294" s="194"/>
      <c r="E294" s="194"/>
      <c r="F294" s="194"/>
      <c r="G294" s="194"/>
    </row>
    <row r="295" spans="1:7" x14ac:dyDescent="0.3">
      <c r="A295" s="275" t="s">
        <v>731</v>
      </c>
      <c r="B295" s="293" t="s">
        <v>732</v>
      </c>
      <c r="C295" s="317" t="s">
        <v>733</v>
      </c>
      <c r="D295" s="317" t="s">
        <v>734</v>
      </c>
      <c r="E295" s="194"/>
      <c r="F295" s="317" t="s">
        <v>735</v>
      </c>
      <c r="G295" s="194"/>
    </row>
    <row r="296" spans="1:7" x14ac:dyDescent="0.3">
      <c r="A296" s="275" t="s">
        <v>736</v>
      </c>
      <c r="B296" s="293" t="s">
        <v>737</v>
      </c>
      <c r="C296" s="317">
        <v>111</v>
      </c>
      <c r="D296" s="194"/>
      <c r="E296" s="194"/>
      <c r="F296" s="194"/>
      <c r="G296" s="194"/>
    </row>
    <row r="297" spans="1:7" x14ac:dyDescent="0.3">
      <c r="A297" s="275" t="s">
        <v>738</v>
      </c>
      <c r="B297" s="293" t="s">
        <v>739</v>
      </c>
      <c r="C297" s="317">
        <v>163</v>
      </c>
      <c r="D297" s="194"/>
      <c r="E297" s="194"/>
      <c r="F297" s="194"/>
      <c r="G297" s="194"/>
    </row>
    <row r="298" spans="1:7" x14ac:dyDescent="0.3">
      <c r="A298" s="275" t="s">
        <v>740</v>
      </c>
      <c r="B298" s="293" t="s">
        <v>741</v>
      </c>
      <c r="C298" s="317">
        <v>137</v>
      </c>
      <c r="D298" s="194"/>
      <c r="E298" s="194"/>
      <c r="F298" s="194"/>
      <c r="G298" s="194"/>
    </row>
    <row r="299" spans="1:7" x14ac:dyDescent="0.3">
      <c r="A299" s="275" t="s">
        <v>742</v>
      </c>
      <c r="B299" s="293" t="s">
        <v>743</v>
      </c>
      <c r="C299" s="194"/>
      <c r="D299" s="194"/>
      <c r="E299" s="194"/>
      <c r="F299" s="194"/>
      <c r="G299" s="194"/>
    </row>
    <row r="300" spans="1:7" x14ac:dyDescent="0.3">
      <c r="A300" s="275" t="s">
        <v>744</v>
      </c>
      <c r="B300" s="293" t="s">
        <v>745</v>
      </c>
      <c r="C300" s="317" t="s">
        <v>746</v>
      </c>
      <c r="D300" s="317" t="s">
        <v>747</v>
      </c>
      <c r="E300" s="194"/>
      <c r="F300" s="194"/>
      <c r="G300" s="194"/>
    </row>
    <row r="301" spans="1:7" x14ac:dyDescent="0.3">
      <c r="A301" s="275" t="s">
        <v>748</v>
      </c>
      <c r="B301" s="293" t="s">
        <v>749</v>
      </c>
      <c r="C301" s="317" t="s">
        <v>750</v>
      </c>
      <c r="D301" s="194"/>
      <c r="E301" s="194"/>
      <c r="F301" s="194"/>
      <c r="G301" s="194"/>
    </row>
    <row r="302" spans="1:7" x14ac:dyDescent="0.3">
      <c r="A302" s="275" t="s">
        <v>751</v>
      </c>
      <c r="B302" s="293" t="s">
        <v>752</v>
      </c>
      <c r="C302" s="317" t="s">
        <v>753</v>
      </c>
      <c r="D302" s="194"/>
      <c r="E302" s="194"/>
      <c r="F302" s="194"/>
      <c r="G302" s="194"/>
    </row>
    <row r="303" spans="1:7" x14ac:dyDescent="0.3">
      <c r="A303" s="275" t="s">
        <v>754</v>
      </c>
      <c r="B303" s="293" t="s">
        <v>755</v>
      </c>
      <c r="C303" s="317">
        <v>65</v>
      </c>
      <c r="D303" s="194"/>
      <c r="E303" s="194"/>
      <c r="F303" s="198"/>
      <c r="G303" s="198"/>
    </row>
    <row r="304" spans="1:7" x14ac:dyDescent="0.3">
      <c r="A304" s="275" t="s">
        <v>756</v>
      </c>
      <c r="B304" s="293" t="s">
        <v>757</v>
      </c>
      <c r="C304" s="317">
        <v>88</v>
      </c>
      <c r="D304" s="194"/>
      <c r="E304" s="194"/>
      <c r="F304" s="194"/>
      <c r="G304" s="194"/>
    </row>
    <row r="305" spans="1:7" x14ac:dyDescent="0.3">
      <c r="A305" s="275" t="s">
        <v>758</v>
      </c>
      <c r="B305" s="293" t="s">
        <v>759</v>
      </c>
      <c r="C305" s="317" t="s">
        <v>760</v>
      </c>
      <c r="D305" s="194"/>
      <c r="E305" s="194"/>
      <c r="F305" s="194"/>
      <c r="G305" s="194"/>
    </row>
    <row r="306" spans="1:7" x14ac:dyDescent="0.3">
      <c r="A306" s="275" t="s">
        <v>761</v>
      </c>
      <c r="B306" s="293" t="s">
        <v>762</v>
      </c>
      <c r="C306" s="317">
        <v>44</v>
      </c>
      <c r="D306" s="194"/>
      <c r="E306" s="194"/>
      <c r="F306" s="194"/>
      <c r="G306" s="194"/>
    </row>
    <row r="307" spans="1:7" x14ac:dyDescent="0.3">
      <c r="A307" s="275" t="s">
        <v>763</v>
      </c>
      <c r="B307" s="293" t="s">
        <v>764</v>
      </c>
      <c r="C307" s="317" t="s">
        <v>765</v>
      </c>
      <c r="D307" s="317" t="s">
        <v>766</v>
      </c>
      <c r="E307" s="194"/>
      <c r="F307" s="317" t="s">
        <v>767</v>
      </c>
      <c r="G307" s="194"/>
    </row>
    <row r="308" spans="1:7" x14ac:dyDescent="0.3">
      <c r="A308" s="275" t="s">
        <v>768</v>
      </c>
      <c r="B308" s="228"/>
    </row>
    <row r="309" spans="1:7" x14ac:dyDescent="0.3">
      <c r="A309" s="275" t="s">
        <v>769</v>
      </c>
      <c r="B309" s="229"/>
    </row>
    <row r="310" spans="1:7" x14ac:dyDescent="0.3">
      <c r="A310" s="275" t="s">
        <v>770</v>
      </c>
      <c r="B310" s="229"/>
    </row>
    <row r="311" spans="1:7" ht="18.75" customHeight="1" x14ac:dyDescent="0.3">
      <c r="A311" s="273"/>
      <c r="B311" s="273" t="s">
        <v>267</v>
      </c>
      <c r="C311" s="273"/>
      <c r="D311" s="273"/>
      <c r="E311" s="273"/>
      <c r="F311" s="273"/>
      <c r="G311" s="273"/>
    </row>
    <row r="312" spans="1:7" x14ac:dyDescent="0.3">
      <c r="A312" s="275" t="s">
        <v>771</v>
      </c>
      <c r="B312" s="291" t="s">
        <v>772</v>
      </c>
    </row>
    <row r="313" spans="1:7" x14ac:dyDescent="0.3">
      <c r="A313" s="275" t="s">
        <v>773</v>
      </c>
      <c r="B313" s="291" t="s">
        <v>774</v>
      </c>
    </row>
    <row r="314" spans="1:7" x14ac:dyDescent="0.3">
      <c r="A314" s="275" t="s">
        <v>775</v>
      </c>
      <c r="B314" s="291" t="s">
        <v>776</v>
      </c>
    </row>
    <row r="315" spans="1:7" x14ac:dyDescent="0.3">
      <c r="A315" s="275" t="s">
        <v>777</v>
      </c>
      <c r="B315" s="240"/>
    </row>
    <row r="316" spans="1:7" x14ac:dyDescent="0.3">
      <c r="A316" s="275" t="s">
        <v>778</v>
      </c>
      <c r="B316" s="240"/>
    </row>
    <row r="317" spans="1:7" x14ac:dyDescent="0.3">
      <c r="A317" s="275" t="s">
        <v>779</v>
      </c>
      <c r="B317" s="240"/>
    </row>
    <row r="318" spans="1:7" x14ac:dyDescent="0.3">
      <c r="A318" s="275" t="s">
        <v>780</v>
      </c>
      <c r="B318" s="240"/>
    </row>
    <row r="319" spans="1:7" ht="18.75" customHeight="1" x14ac:dyDescent="0.3">
      <c r="A319" s="273"/>
      <c r="B319" s="273" t="s">
        <v>268</v>
      </c>
      <c r="C319" s="273"/>
      <c r="D319" s="273"/>
      <c r="E319" s="273"/>
      <c r="F319" s="273"/>
      <c r="G319" s="273"/>
    </row>
    <row r="320" spans="1:7" x14ac:dyDescent="0.3">
      <c r="A320" s="289"/>
      <c r="B320" s="289" t="s">
        <v>781</v>
      </c>
      <c r="C320" s="289"/>
      <c r="D320" s="289"/>
      <c r="E320" s="289"/>
      <c r="F320" s="289"/>
      <c r="G320" s="289"/>
    </row>
    <row r="321" spans="1:2" x14ac:dyDescent="0.3">
      <c r="A321" s="275" t="s">
        <v>782</v>
      </c>
      <c r="B321" s="293" t="s">
        <v>783</v>
      </c>
    </row>
    <row r="322" spans="1:2" x14ac:dyDescent="0.3">
      <c r="A322" s="275" t="s">
        <v>784</v>
      </c>
      <c r="B322" s="293" t="s">
        <v>785</v>
      </c>
    </row>
    <row r="323" spans="1:2" x14ac:dyDescent="0.3">
      <c r="A323" s="275" t="s">
        <v>786</v>
      </c>
      <c r="B323" s="293" t="s">
        <v>787</v>
      </c>
    </row>
    <row r="324" spans="1:2" x14ac:dyDescent="0.3">
      <c r="A324" s="275" t="s">
        <v>788</v>
      </c>
      <c r="B324" s="293" t="s">
        <v>789</v>
      </c>
    </row>
    <row r="325" spans="1:2" x14ac:dyDescent="0.3">
      <c r="A325" s="275" t="s">
        <v>790</v>
      </c>
      <c r="B325" s="293" t="s">
        <v>791</v>
      </c>
    </row>
    <row r="326" spans="1:2" x14ac:dyDescent="0.3">
      <c r="A326" s="275" t="s">
        <v>792</v>
      </c>
      <c r="B326" s="293" t="s">
        <v>793</v>
      </c>
    </row>
    <row r="327" spans="1:2" x14ac:dyDescent="0.3">
      <c r="A327" s="275" t="s">
        <v>794</v>
      </c>
      <c r="B327" s="293" t="s">
        <v>795</v>
      </c>
    </row>
    <row r="328" spans="1:2" x14ac:dyDescent="0.3">
      <c r="A328" s="275" t="s">
        <v>796</v>
      </c>
      <c r="B328" s="293" t="s">
        <v>797</v>
      </c>
    </row>
    <row r="329" spans="1:2" x14ac:dyDescent="0.3">
      <c r="A329" s="275" t="s">
        <v>798</v>
      </c>
      <c r="B329" s="293" t="s">
        <v>799</v>
      </c>
    </row>
    <row r="330" spans="1:2" x14ac:dyDescent="0.3">
      <c r="A330" s="275" t="s">
        <v>800</v>
      </c>
      <c r="B330" s="233" t="s">
        <v>801</v>
      </c>
    </row>
    <row r="331" spans="1:2" x14ac:dyDescent="0.3">
      <c r="A331" s="275" t="s">
        <v>802</v>
      </c>
      <c r="B331" s="233" t="s">
        <v>801</v>
      </c>
    </row>
    <row r="332" spans="1:2" x14ac:dyDescent="0.3">
      <c r="A332" s="275" t="s">
        <v>803</v>
      </c>
      <c r="B332" s="233" t="s">
        <v>801</v>
      </c>
    </row>
    <row r="333" spans="1:2" x14ac:dyDescent="0.3">
      <c r="A333" s="275" t="s">
        <v>804</v>
      </c>
      <c r="B333" s="233" t="s">
        <v>801</v>
      </c>
    </row>
    <row r="334" spans="1:2" x14ac:dyDescent="0.3">
      <c r="A334" s="275" t="s">
        <v>805</v>
      </c>
      <c r="B334" s="233" t="s">
        <v>801</v>
      </c>
    </row>
    <row r="335" spans="1:2" x14ac:dyDescent="0.3">
      <c r="A335" s="275" t="s">
        <v>806</v>
      </c>
      <c r="B335" s="233" t="s">
        <v>801</v>
      </c>
    </row>
    <row r="336" spans="1:2" x14ac:dyDescent="0.3">
      <c r="A336" s="275" t="s">
        <v>807</v>
      </c>
      <c r="B336" s="233" t="s">
        <v>801</v>
      </c>
    </row>
    <row r="337" spans="1:2" x14ac:dyDescent="0.3">
      <c r="A337" s="275" t="s">
        <v>808</v>
      </c>
      <c r="B337" s="233" t="s">
        <v>801</v>
      </c>
    </row>
    <row r="338" spans="1:2" x14ac:dyDescent="0.3">
      <c r="A338" s="275" t="s">
        <v>809</v>
      </c>
      <c r="B338" s="233" t="s">
        <v>801</v>
      </c>
    </row>
    <row r="339" spans="1:2" x14ac:dyDescent="0.3">
      <c r="A339" s="275" t="s">
        <v>810</v>
      </c>
      <c r="B339" s="233" t="s">
        <v>801</v>
      </c>
    </row>
    <row r="340" spans="1:2" x14ac:dyDescent="0.3">
      <c r="A340" s="275" t="s">
        <v>811</v>
      </c>
      <c r="B340" s="233" t="s">
        <v>801</v>
      </c>
    </row>
    <row r="341" spans="1:2" x14ac:dyDescent="0.3">
      <c r="A341" s="275" t="s">
        <v>812</v>
      </c>
      <c r="B341" s="233" t="s">
        <v>801</v>
      </c>
    </row>
    <row r="342" spans="1:2" x14ac:dyDescent="0.3">
      <c r="A342" s="275" t="s">
        <v>813</v>
      </c>
      <c r="B342" s="233" t="s">
        <v>801</v>
      </c>
    </row>
    <row r="343" spans="1:2" x14ac:dyDescent="0.3">
      <c r="A343" s="275" t="s">
        <v>814</v>
      </c>
      <c r="B343" s="233" t="s">
        <v>801</v>
      </c>
    </row>
    <row r="344" spans="1:2" x14ac:dyDescent="0.3">
      <c r="A344" s="275" t="s">
        <v>815</v>
      </c>
      <c r="B344" s="233" t="s">
        <v>801</v>
      </c>
    </row>
    <row r="345" spans="1:2" x14ac:dyDescent="0.3">
      <c r="A345" s="275" t="s">
        <v>816</v>
      </c>
      <c r="B345" s="233" t="s">
        <v>801</v>
      </c>
    </row>
    <row r="346" spans="1:2" x14ac:dyDescent="0.3">
      <c r="A346" s="275" t="s">
        <v>817</v>
      </c>
      <c r="B346" s="233" t="s">
        <v>801</v>
      </c>
    </row>
    <row r="347" spans="1:2" x14ac:dyDescent="0.3">
      <c r="A347" s="275" t="s">
        <v>818</v>
      </c>
      <c r="B347" s="233" t="s">
        <v>801</v>
      </c>
    </row>
    <row r="348" spans="1:2" x14ac:dyDescent="0.3">
      <c r="A348" s="275" t="s">
        <v>819</v>
      </c>
      <c r="B348" s="233" t="s">
        <v>801</v>
      </c>
    </row>
    <row r="349" spans="1:2" x14ac:dyDescent="0.3">
      <c r="A349" s="275" t="s">
        <v>820</v>
      </c>
      <c r="B349" s="233" t="s">
        <v>801</v>
      </c>
    </row>
    <row r="350" spans="1:2" x14ac:dyDescent="0.3">
      <c r="A350" s="275" t="s">
        <v>821</v>
      </c>
      <c r="B350" s="233" t="s">
        <v>801</v>
      </c>
    </row>
    <row r="351" spans="1:2" x14ac:dyDescent="0.3">
      <c r="A351" s="275" t="s">
        <v>822</v>
      </c>
      <c r="B351" s="233" t="s">
        <v>801</v>
      </c>
    </row>
    <row r="352" spans="1:2" x14ac:dyDescent="0.3">
      <c r="A352" s="275" t="s">
        <v>823</v>
      </c>
      <c r="B352" s="233" t="s">
        <v>801</v>
      </c>
    </row>
    <row r="353" spans="1:2" x14ac:dyDescent="0.3">
      <c r="A353" s="275" t="s">
        <v>824</v>
      </c>
      <c r="B353" s="233" t="s">
        <v>801</v>
      </c>
    </row>
    <row r="354" spans="1:2" x14ac:dyDescent="0.3">
      <c r="A354" s="275" t="s">
        <v>825</v>
      </c>
      <c r="B354" s="233" t="s">
        <v>801</v>
      </c>
    </row>
    <row r="355" spans="1:2" x14ac:dyDescent="0.3">
      <c r="A355" s="275" t="s">
        <v>826</v>
      </c>
      <c r="B355" s="233" t="s">
        <v>801</v>
      </c>
    </row>
    <row r="356" spans="1:2" x14ac:dyDescent="0.3">
      <c r="A356" s="275" t="s">
        <v>827</v>
      </c>
      <c r="B356" s="233" t="s">
        <v>801</v>
      </c>
    </row>
    <row r="357" spans="1:2" x14ac:dyDescent="0.3">
      <c r="A357" s="275" t="s">
        <v>828</v>
      </c>
      <c r="B357" s="233" t="s">
        <v>801</v>
      </c>
    </row>
    <row r="358" spans="1:2" x14ac:dyDescent="0.3">
      <c r="A358" s="275" t="s">
        <v>829</v>
      </c>
      <c r="B358" s="233" t="s">
        <v>801</v>
      </c>
    </row>
    <row r="359" spans="1:2" x14ac:dyDescent="0.3">
      <c r="A359" s="275" t="s">
        <v>830</v>
      </c>
      <c r="B359" s="233" t="s">
        <v>801</v>
      </c>
    </row>
    <row r="360" spans="1:2" x14ac:dyDescent="0.3">
      <c r="A360" s="275" t="s">
        <v>831</v>
      </c>
      <c r="B360" s="233" t="s">
        <v>801</v>
      </c>
    </row>
    <row r="361" spans="1:2" x14ac:dyDescent="0.3">
      <c r="A361" s="275" t="s">
        <v>832</v>
      </c>
      <c r="B361" s="233" t="s">
        <v>801</v>
      </c>
    </row>
    <row r="362" spans="1:2" x14ac:dyDescent="0.3">
      <c r="A362" s="275" t="s">
        <v>833</v>
      </c>
      <c r="B362" s="233" t="s">
        <v>801</v>
      </c>
    </row>
    <row r="363" spans="1:2" x14ac:dyDescent="0.3">
      <c r="A363" s="275" t="s">
        <v>834</v>
      </c>
      <c r="B363" s="233" t="s">
        <v>801</v>
      </c>
    </row>
    <row r="364" spans="1:2" x14ac:dyDescent="0.3">
      <c r="A364" s="275" t="s">
        <v>835</v>
      </c>
      <c r="B364" s="233" t="s">
        <v>801</v>
      </c>
    </row>
    <row r="365" spans="1:2" x14ac:dyDescent="0.3">
      <c r="A365" s="275" t="s">
        <v>836</v>
      </c>
      <c r="B365" s="233" t="s">
        <v>801</v>
      </c>
    </row>
  </sheetData>
  <protectedRanges>
    <protectedRange sqref="E27:G30 C285:D285 C311:D311 C319:D319 D14:D37 C14:C15 C17:C37" name="Optional ECBECAIs_2_4_2"/>
    <protectedRange sqref="B20:B25" name="Basic Facts 2_1"/>
    <protectedRange sqref="B20:B25" name="HTT General_1"/>
    <protectedRange sqref="B31:B35" name="Regulatory Sumary_1"/>
    <protectedRange sqref="B31:B35" name="HTT General_1_1"/>
    <protectedRange sqref="B40:B43" name="HTT General_1_2"/>
    <protectedRange sqref="B49:B51" name="HTT General_1_3"/>
    <protectedRange sqref="B49:B51" name="Range13_1"/>
    <protectedRange sqref="B59:B64" name="HTT General_1_4"/>
    <protectedRange sqref="B78:B87" name="HTT General_1_5"/>
    <protectedRange sqref="B101:B110" name="Range6_1"/>
    <protectedRange sqref="B158:B162" name="Range7_1"/>
    <protectedRange sqref="B168:B172" name="Range8_1"/>
    <protectedRange sqref="B180:B191" name="Range9_1"/>
    <protectedRange sqref="B210:B215" name="Range10_1"/>
    <protectedRange sqref="B221:B227" name="Range10_1_1"/>
    <protectedRange sqref="B234:B238" name="Range10_1_2"/>
    <protectedRange sqref="B243:B284" name="Range10_1_3"/>
    <protectedRange sqref="B315:B318" name="Range12_1"/>
    <protectedRange sqref="B321:B365" name="Range11_1"/>
    <protectedRange sqref="B132:B136" name="Range6_1_2"/>
  </protectedRanges>
  <mergeCells count="1">
    <mergeCell ref="E12:F12"/>
  </mergeCell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10" location="'A. HTT General'!B311" display="5. References to Capital Requirements Regulation (CRR) 129(1)" xr:uid="{00000000-0004-0000-0400-000003000000}"/>
    <hyperlink ref="B11" location="'A. HTT General'!B319" display="6. Other relevant information" xr:uid="{00000000-0004-0000-0400-000004000000}"/>
    <hyperlink ref="C17" r:id="rId1" xr:uid="{00000000-0004-0000-0400-000005000000}"/>
    <hyperlink ref="C30" r:id="rId2" xr:uid="{00000000-0004-0000-0400-000006000000}"/>
    <hyperlink ref="C244" location="'F1. Sustainable M data'!A1" display="F1. Tab" xr:uid="{00000000-0004-0000-0400-000007000000}"/>
    <hyperlink ref="C229" r:id="rId3" xr:uid="{00000000-0004-0000-0400-000008000000}"/>
    <hyperlink ref="C288" location="'A. HTT General'!B38" display="38" xr:uid="{00000000-0004-0000-0400-000009000000}"/>
    <hyperlink ref="C289" location="'A. HTT General'!B39" display="39" xr:uid="{00000000-0004-0000-0400-00000A000000}"/>
    <hyperlink ref="C291" location="'B1. HTT Mortgage Assets'!B43" display="43 for Mortgage Assets" xr:uid="{00000000-0004-0000-0400-00000B000000}"/>
    <hyperlink ref="D291" location="'B2. HTT Public Sector Assets'!B48" display="48 for Public Sector Assets" xr:uid="{00000000-0004-0000-0400-00000C000000}"/>
    <hyperlink ref="C292" location="'A. HTT General'!A52" display="52" xr:uid="{00000000-0004-0000-0400-00000D000000}"/>
    <hyperlink ref="C293" location="'B1. HTT Mortgage Assets'!B186" display="186 for Residential Mortgage Assets" xr:uid="{00000000-0004-0000-0400-00000E000000}"/>
    <hyperlink ref="D293" location="'B1. HTT Mortgage Assets'!B424" display="424 for Commercial Mortgage Assets" xr:uid="{00000000-0004-0000-0400-00000F000000}"/>
    <hyperlink ref="F293" location="'B2. HTT Public Sector Assets'!A18" display="18 for Public Sector Assets" xr:uid="{00000000-0004-0000-0400-000010000000}"/>
    <hyperlink ref="G293" location="'B3. HTT Shipping Assets'!B116" display="116 for Shipping Assets" xr:uid="{00000000-0004-0000-0400-000011000000}"/>
    <hyperlink ref="C295" location="'C. HTT Harmonised Glossary'!B20" display="149 for Mortgage Assets" xr:uid="{00000000-0004-0000-0400-000012000000}"/>
    <hyperlink ref="D295" location="'B2. HTT Public Sector Assets'!B129" display="129 for Public Sector Assets" xr:uid="{00000000-0004-0000-0400-000013000000}"/>
    <hyperlink ref="F295" location="'B3. HTT Shipping Assets'!B80" display="80 for Shipping Assets" xr:uid="{00000000-0004-0000-0400-000014000000}"/>
    <hyperlink ref="C296" location="'A. HTT General'!B111" display="111" xr:uid="{00000000-0004-0000-0400-000015000000}"/>
    <hyperlink ref="C297" location="'A. HTT General'!B163" display="163" xr:uid="{00000000-0004-0000-0400-000016000000}"/>
    <hyperlink ref="C298" location="'A. HTT General'!B137" display="137" xr:uid="{00000000-0004-0000-0400-000017000000}"/>
    <hyperlink ref="C300" location="'B1. HTT Mortgage Assets'!B215" display="215 LTV Residential Mortgage" xr:uid="{00000000-0004-0000-0400-000018000000}"/>
    <hyperlink ref="D300" location="'B1. HTT Mortgage Assets'!B453" display="441 LTV Commercial Mortgage" xr:uid="{00000000-0004-0000-0400-000019000000}"/>
    <hyperlink ref="C301" location="'A. HTT General'!B230" display="230 Derivatives and Swaps" xr:uid="{00000000-0004-0000-0400-00001A000000}"/>
    <hyperlink ref="C302" location="'C. HTT Harmonised Glossary'!B18" display="18 for Harmonised Glossary" xr:uid="{00000000-0004-0000-0400-00001B000000}"/>
    <hyperlink ref="C303" location="'A. HTT General'!B65" display="65" xr:uid="{00000000-0004-0000-0400-00001C000000}"/>
    <hyperlink ref="C304" location="'A. HTT General'!B88" display="88" xr:uid="{00000000-0004-0000-0400-00001D000000}"/>
    <hyperlink ref="C305" location="'C. HTT Harmonised Glossary'!B12" display="link to Glossary HG 1.7" xr:uid="{00000000-0004-0000-0400-00001E000000}"/>
    <hyperlink ref="C306" location="'A. HTT General'!B44" display="44" xr:uid="{00000000-0004-0000-0400-00001F000000}"/>
    <hyperlink ref="C307" location="'B1. HTT Mortgage Assets'!B179" display="179 for Mortgage Assets" xr:uid="{00000000-0004-0000-0400-000020000000}"/>
    <hyperlink ref="D307" location="'B2. HTT Public Sector Assets'!B166" display="166 for Public Sector Assets" xr:uid="{00000000-0004-0000-0400-000021000000}"/>
    <hyperlink ref="F307" location="'B3. HTT Shipping Assets'!B110" display="110 for Shipping Assets" xr:uid="{00000000-0004-0000-0400-000022000000}"/>
    <hyperlink ref="B9" location="'A. HTT General'!B285" display="4. Compliance Art 14 CBD Check Table" xr:uid="{00000000-0004-0000-0400-000023000000}"/>
    <hyperlink ref="B27" r:id="rId4" xr:uid="{00000000-0004-0000-0400-000024000000}"/>
    <hyperlink ref="B29" r:id="rId5" xr:uid="{00000000-0004-0000-0400-000025000000}"/>
    <hyperlink ref="B30" r:id="rId6" xr:uid="{00000000-0004-0000-0400-000026000000}"/>
    <hyperlink ref="B28" r:id="rId7" xr:uid="{00000000-0004-0000-0400-000027000000}"/>
  </hyperlinks>
  <pageMargins left="0.7" right="0.7" top="0.75" bottom="0.75" header="0.3" footer="0.3"/>
  <pageSetup paperSize="9" orientation="portrait" horizontalDpi="300" verticalDpi="300"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68A4-8ED7-4653-8BAC-B7940847957A}">
  <sheetPr>
    <tabColor theme="9" tint="-0.249977111117893"/>
  </sheetPr>
  <dimension ref="A1:J622"/>
  <sheetViews>
    <sheetView topLeftCell="A27" zoomScale="70" zoomScaleNormal="70" workbookViewId="0">
      <selection activeCell="G120" sqref="G120"/>
    </sheetView>
  </sheetViews>
  <sheetFormatPr baseColWidth="10" defaultColWidth="11.44140625" defaultRowHeight="14.4" x14ac:dyDescent="0.3"/>
  <cols>
    <col min="1" max="1" width="13.33203125" style="194" customWidth="1"/>
    <col min="2" max="2" width="75.88671875" style="194" customWidth="1"/>
    <col min="3" max="3" width="49.6640625" customWidth="1"/>
    <col min="4" max="4" width="49.5546875" customWidth="1"/>
    <col min="5" max="5" width="6.33203125" customWidth="1"/>
    <col min="6" max="6" width="51" customWidth="1"/>
    <col min="7" max="7" width="52.33203125" customWidth="1"/>
    <col min="8" max="8" width="11.44140625" customWidth="1"/>
  </cols>
  <sheetData>
    <row r="1" spans="1:7" ht="31.5" customHeight="1" x14ac:dyDescent="0.3">
      <c r="A1" s="171" t="s">
        <v>837</v>
      </c>
      <c r="B1" s="195"/>
      <c r="C1" s="170"/>
      <c r="D1" s="170"/>
      <c r="E1" s="170"/>
      <c r="F1" s="172" t="str">
        <f>'A. HTT General'!F1</f>
        <v>HTT 2026</v>
      </c>
      <c r="G1" s="173"/>
    </row>
    <row r="2" spans="1:7" ht="15.75" customHeight="1" x14ac:dyDescent="0.3">
      <c r="A2" s="170"/>
      <c r="B2" s="170"/>
      <c r="C2" s="170"/>
      <c r="D2" s="170"/>
      <c r="E2" s="170"/>
      <c r="F2" s="170"/>
      <c r="G2" s="170"/>
    </row>
    <row r="3" spans="1:7" ht="19.5" customHeight="1" x14ac:dyDescent="0.3">
      <c r="A3" s="170"/>
      <c r="B3" s="266" t="s">
        <v>260</v>
      </c>
      <c r="C3" s="175" t="s">
        <v>261</v>
      </c>
      <c r="D3" s="170"/>
      <c r="E3" s="267"/>
      <c r="F3" s="267"/>
      <c r="G3" s="268"/>
    </row>
    <row r="4" spans="1:7" ht="15.75" customHeight="1" x14ac:dyDescent="0.3">
      <c r="A4" s="170"/>
      <c r="B4" s="170"/>
      <c r="C4" s="170"/>
      <c r="D4" s="170"/>
      <c r="E4" s="170"/>
      <c r="F4" s="170"/>
      <c r="G4" s="170"/>
    </row>
    <row r="5" spans="1:7" ht="18.75" customHeight="1" x14ac:dyDescent="0.3">
      <c r="A5" s="170"/>
      <c r="B5" s="269" t="s">
        <v>838</v>
      </c>
      <c r="C5" s="270"/>
      <c r="D5" s="170"/>
      <c r="E5" s="270"/>
      <c r="F5" s="270"/>
      <c r="G5" s="270"/>
    </row>
    <row r="6" spans="1:7" x14ac:dyDescent="0.3">
      <c r="A6" s="207"/>
      <c r="B6" s="213" t="s">
        <v>839</v>
      </c>
      <c r="D6" s="170"/>
      <c r="E6" s="271"/>
      <c r="F6" s="271"/>
      <c r="G6" s="271"/>
    </row>
    <row r="7" spans="1:7" x14ac:dyDescent="0.3">
      <c r="A7" s="207"/>
      <c r="B7" s="214" t="s">
        <v>840</v>
      </c>
      <c r="D7" s="170"/>
      <c r="E7" s="271"/>
      <c r="F7" s="271"/>
      <c r="G7" s="271"/>
    </row>
    <row r="8" spans="1:7" ht="15.75" customHeight="1" x14ac:dyDescent="0.3">
      <c r="A8" s="207"/>
      <c r="B8" s="215" t="s">
        <v>841</v>
      </c>
      <c r="D8" s="170"/>
      <c r="E8" s="271"/>
      <c r="F8" s="271"/>
      <c r="G8" s="271"/>
    </row>
    <row r="9" spans="1:7" x14ac:dyDescent="0.3">
      <c r="A9" s="170"/>
      <c r="B9" s="208"/>
      <c r="C9" s="170"/>
      <c r="D9" s="170"/>
      <c r="E9" s="622"/>
      <c r="F9" s="622"/>
      <c r="G9" s="170"/>
    </row>
    <row r="10" spans="1:7" ht="37.5" customHeight="1" x14ac:dyDescent="0.3">
      <c r="A10" s="273" t="s">
        <v>269</v>
      </c>
      <c r="B10" s="273" t="s">
        <v>839</v>
      </c>
      <c r="C10" s="274"/>
      <c r="D10" s="274"/>
      <c r="E10" s="273"/>
      <c r="F10" s="273"/>
      <c r="G10" s="273"/>
    </row>
    <row r="11" spans="1:7" x14ac:dyDescent="0.3">
      <c r="A11" s="289"/>
      <c r="B11" s="320" t="s">
        <v>842</v>
      </c>
      <c r="C11" s="289" t="s">
        <v>310</v>
      </c>
      <c r="D11" s="289"/>
      <c r="E11" s="289"/>
      <c r="F11" s="289" t="s">
        <v>843</v>
      </c>
      <c r="G11" s="289"/>
    </row>
    <row r="12" spans="1:7" x14ac:dyDescent="0.3">
      <c r="A12" s="275" t="s">
        <v>844</v>
      </c>
      <c r="B12" s="275" t="s">
        <v>845</v>
      </c>
      <c r="C12" s="278" cm="1">
        <f t="array" ref="C12">(SUMPRODUCT((Cube!$A$2:$A$9999="MOBILISE")*(Cube!$B$2:$B$9999="Summary")*(Cube!$C$2:$C$9999="MTKRDC")*(Cube!$E$2:$E$9999))/ 1000000)</f>
        <v>85276.066473039988</v>
      </c>
      <c r="D12" s="278"/>
      <c r="F12" s="321">
        <f>C12/C$15</f>
        <v>1</v>
      </c>
      <c r="G12" s="279" t="s">
        <v>846</v>
      </c>
    </row>
    <row r="13" spans="1:7" x14ac:dyDescent="0.3">
      <c r="A13" s="275" t="s">
        <v>847</v>
      </c>
      <c r="B13" s="275" t="s">
        <v>848</v>
      </c>
      <c r="C13" s="280">
        <v>0</v>
      </c>
      <c r="D13" s="280"/>
      <c r="F13" s="321">
        <f>C13/C$15</f>
        <v>0</v>
      </c>
      <c r="G13" s="234" t="s">
        <v>846</v>
      </c>
    </row>
    <row r="14" spans="1:7" x14ac:dyDescent="0.3">
      <c r="A14" s="275" t="s">
        <v>849</v>
      </c>
      <c r="B14" s="275" t="s">
        <v>350</v>
      </c>
      <c r="C14" s="280">
        <v>0</v>
      </c>
      <c r="D14" s="280"/>
      <c r="F14" s="321">
        <f>C14/C$15</f>
        <v>0</v>
      </c>
      <c r="G14" s="234" t="s">
        <v>846</v>
      </c>
    </row>
    <row r="15" spans="1:7" x14ac:dyDescent="0.3">
      <c r="A15" s="275" t="s">
        <v>850</v>
      </c>
      <c r="B15" s="322" t="s">
        <v>352</v>
      </c>
      <c r="C15" s="323">
        <f>SUM(C12:C14)</f>
        <v>85276.066473039988</v>
      </c>
      <c r="D15" s="280"/>
      <c r="F15" s="321">
        <f>SUM(F12:F14)</f>
        <v>1</v>
      </c>
      <c r="G15" s="234" t="s">
        <v>846</v>
      </c>
    </row>
    <row r="16" spans="1:7" x14ac:dyDescent="0.3">
      <c r="A16" s="275" t="s">
        <v>851</v>
      </c>
      <c r="B16" s="324" t="s">
        <v>852</v>
      </c>
      <c r="C16" s="282"/>
      <c r="D16" s="234"/>
      <c r="F16" s="234"/>
      <c r="G16" s="234"/>
    </row>
    <row r="17" spans="1:7" x14ac:dyDescent="0.3">
      <c r="A17" s="275" t="s">
        <v>853</v>
      </c>
      <c r="B17" s="324" t="s">
        <v>854</v>
      </c>
      <c r="C17" s="282"/>
      <c r="D17" s="234"/>
      <c r="F17" s="234"/>
      <c r="G17" s="234"/>
    </row>
    <row r="18" spans="1:7" x14ac:dyDescent="0.3">
      <c r="A18" s="275" t="s">
        <v>855</v>
      </c>
      <c r="B18" s="233" t="s">
        <v>354</v>
      </c>
      <c r="C18" s="282"/>
      <c r="D18" s="234"/>
      <c r="F18" s="234"/>
      <c r="G18" s="234"/>
    </row>
    <row r="19" spans="1:7" x14ac:dyDescent="0.3">
      <c r="A19" s="275" t="s">
        <v>856</v>
      </c>
      <c r="B19" s="233" t="s">
        <v>354</v>
      </c>
      <c r="C19" s="282"/>
      <c r="D19" s="234"/>
      <c r="F19" s="234"/>
      <c r="G19" s="234"/>
    </row>
    <row r="20" spans="1:7" x14ac:dyDescent="0.3">
      <c r="A20" s="275" t="s">
        <v>857</v>
      </c>
      <c r="B20" s="233" t="s">
        <v>354</v>
      </c>
      <c r="C20" s="282"/>
      <c r="D20" s="234"/>
      <c r="F20" s="234"/>
      <c r="G20" s="234"/>
    </row>
    <row r="21" spans="1:7" x14ac:dyDescent="0.3">
      <c r="A21" s="275" t="s">
        <v>858</v>
      </c>
      <c r="B21" s="233" t="s">
        <v>354</v>
      </c>
      <c r="C21" s="282"/>
      <c r="D21" s="234"/>
      <c r="F21" s="234"/>
      <c r="G21" s="234"/>
    </row>
    <row r="22" spans="1:7" x14ac:dyDescent="0.3">
      <c r="A22" s="275" t="s">
        <v>859</v>
      </c>
      <c r="B22" s="233" t="s">
        <v>354</v>
      </c>
      <c r="C22" s="282"/>
      <c r="D22" s="234"/>
      <c r="F22" s="234"/>
      <c r="G22" s="234"/>
    </row>
    <row r="23" spans="1:7" x14ac:dyDescent="0.3">
      <c r="A23" s="275" t="s">
        <v>860</v>
      </c>
      <c r="B23" s="233" t="s">
        <v>354</v>
      </c>
      <c r="C23" s="282"/>
      <c r="D23" s="234"/>
      <c r="F23" s="234"/>
      <c r="G23" s="234"/>
    </row>
    <row r="24" spans="1:7" x14ac:dyDescent="0.3">
      <c r="A24" s="275" t="s">
        <v>861</v>
      </c>
      <c r="B24" s="233" t="s">
        <v>354</v>
      </c>
      <c r="C24" s="282"/>
      <c r="D24" s="234"/>
      <c r="F24" s="234"/>
      <c r="G24" s="234"/>
    </row>
    <row r="25" spans="1:7" x14ac:dyDescent="0.3">
      <c r="A25" s="275" t="s">
        <v>862</v>
      </c>
      <c r="B25" s="233" t="s">
        <v>354</v>
      </c>
      <c r="C25" s="282"/>
      <c r="D25" s="234"/>
      <c r="F25" s="234"/>
      <c r="G25" s="234"/>
    </row>
    <row r="26" spans="1:7" x14ac:dyDescent="0.3">
      <c r="A26" s="275" t="s">
        <v>863</v>
      </c>
      <c r="B26" s="233" t="s">
        <v>354</v>
      </c>
      <c r="C26" s="282"/>
      <c r="D26" s="234"/>
      <c r="F26" s="234"/>
      <c r="G26" s="234"/>
    </row>
    <row r="27" spans="1:7" x14ac:dyDescent="0.3">
      <c r="A27" s="289"/>
      <c r="B27" s="289" t="s">
        <v>864</v>
      </c>
      <c r="C27" s="289" t="s">
        <v>865</v>
      </c>
      <c r="D27" s="289" t="s">
        <v>866</v>
      </c>
      <c r="E27" s="289"/>
      <c r="F27" s="289" t="s">
        <v>867</v>
      </c>
      <c r="G27" s="289"/>
    </row>
    <row r="28" spans="1:7" x14ac:dyDescent="0.3">
      <c r="A28" s="275" t="s">
        <v>868</v>
      </c>
      <c r="B28" s="275" t="s">
        <v>869</v>
      </c>
      <c r="C28" s="280" cm="1">
        <f t="array" ref="C28">(SUMPRODUCT((Cube!$A$2:$A$9999="MOBILISE")*(Cube!$B$2:$B$9999="Summary")*(Cube!$C$2:$C$9999="MTKRDC")*(Cube!$D$2:$D$9999)))</f>
        <v>971224</v>
      </c>
      <c r="D28" s="278">
        <v>0</v>
      </c>
      <c r="E28" s="284"/>
      <c r="F28" s="323">
        <f>C28</f>
        <v>971224</v>
      </c>
      <c r="G28" s="284"/>
    </row>
    <row r="29" spans="1:7" x14ac:dyDescent="0.3">
      <c r="A29" s="275" t="s">
        <v>870</v>
      </c>
      <c r="B29" s="228" t="s">
        <v>871</v>
      </c>
      <c r="C29" s="280"/>
      <c r="D29" s="284"/>
      <c r="E29" s="284"/>
      <c r="F29" s="284"/>
      <c r="G29" s="284"/>
    </row>
    <row r="30" spans="1:7" x14ac:dyDescent="0.3">
      <c r="A30" s="275" t="s">
        <v>872</v>
      </c>
      <c r="B30" s="228" t="s">
        <v>873</v>
      </c>
      <c r="C30" s="280"/>
      <c r="D30" s="284"/>
      <c r="E30" s="284"/>
      <c r="F30" s="284"/>
      <c r="G30" s="284"/>
    </row>
    <row r="31" spans="1:7" x14ac:dyDescent="0.3">
      <c r="A31" s="275" t="s">
        <v>874</v>
      </c>
      <c r="B31" s="228"/>
      <c r="C31" s="280"/>
      <c r="D31" s="236"/>
      <c r="E31" s="236"/>
      <c r="F31" s="236"/>
      <c r="G31" s="236"/>
    </row>
    <row r="32" spans="1:7" x14ac:dyDescent="0.3">
      <c r="A32" s="275" t="s">
        <v>875</v>
      </c>
      <c r="B32" s="228"/>
      <c r="C32" s="284"/>
      <c r="D32" s="284"/>
      <c r="E32" s="284"/>
      <c r="F32" s="284"/>
      <c r="G32" s="284"/>
    </row>
    <row r="33" spans="1:7" x14ac:dyDescent="0.3">
      <c r="A33" s="275" t="s">
        <v>876</v>
      </c>
      <c r="B33" s="228"/>
      <c r="C33" s="284"/>
      <c r="D33" s="284"/>
      <c r="E33" s="284"/>
      <c r="F33" s="284"/>
      <c r="G33" s="284"/>
    </row>
    <row r="34" spans="1:7" x14ac:dyDescent="0.3">
      <c r="A34" s="275" t="s">
        <v>877</v>
      </c>
      <c r="B34" s="228"/>
      <c r="C34" s="284"/>
      <c r="D34" s="284"/>
      <c r="E34" s="284"/>
      <c r="F34" s="284"/>
      <c r="G34" s="284"/>
    </row>
    <row r="35" spans="1:7" x14ac:dyDescent="0.3">
      <c r="A35" s="289"/>
      <c r="B35" s="289" t="s">
        <v>878</v>
      </c>
      <c r="C35" s="289" t="s">
        <v>879</v>
      </c>
      <c r="D35" s="289" t="s">
        <v>880</v>
      </c>
      <c r="E35" s="289"/>
      <c r="F35" s="289" t="s">
        <v>881</v>
      </c>
      <c r="G35" s="289"/>
    </row>
    <row r="36" spans="1:7" x14ac:dyDescent="0.3">
      <c r="A36" s="275" t="s">
        <v>882</v>
      </c>
      <c r="B36" s="275" t="s">
        <v>883</v>
      </c>
      <c r="C36" s="203" cm="1">
        <f t="array" ref="C36">IFERROR((SUMPRODUCT((Cube!$A$2:$A$9999="MOBILISE")*(Cube!$B$2:$B$9999="10 largest exposures")*(Cube!$E$2:$E$9999)))/1000000/ C12,"")</f>
        <v>6.8253175019981796E-5</v>
      </c>
      <c r="D36" s="198">
        <v>0</v>
      </c>
      <c r="F36" s="203">
        <f>C36</f>
        <v>6.8253175019981796E-5</v>
      </c>
    </row>
    <row r="37" spans="1:7" x14ac:dyDescent="0.3">
      <c r="A37" s="275" t="s">
        <v>884</v>
      </c>
      <c r="B37" s="230"/>
    </row>
    <row r="38" spans="1:7" x14ac:dyDescent="0.3">
      <c r="A38" s="275" t="s">
        <v>885</v>
      </c>
      <c r="B38" s="230"/>
    </row>
    <row r="39" spans="1:7" x14ac:dyDescent="0.3">
      <c r="A39" s="275" t="s">
        <v>886</v>
      </c>
      <c r="B39" s="230"/>
    </row>
    <row r="40" spans="1:7" x14ac:dyDescent="0.3">
      <c r="A40" s="275" t="s">
        <v>887</v>
      </c>
      <c r="B40" s="230"/>
    </row>
    <row r="41" spans="1:7" x14ac:dyDescent="0.3">
      <c r="A41" s="275" t="s">
        <v>888</v>
      </c>
      <c r="B41" s="230"/>
    </row>
    <row r="42" spans="1:7" x14ac:dyDescent="0.3">
      <c r="A42" s="275" t="s">
        <v>889</v>
      </c>
      <c r="B42" s="230"/>
    </row>
    <row r="43" spans="1:7" x14ac:dyDescent="0.3">
      <c r="A43" s="289"/>
      <c r="B43" s="289" t="s">
        <v>890</v>
      </c>
      <c r="C43" s="289" t="s">
        <v>879</v>
      </c>
      <c r="D43" s="289" t="s">
        <v>880</v>
      </c>
      <c r="E43" s="289"/>
      <c r="F43" s="289" t="s">
        <v>881</v>
      </c>
      <c r="G43" s="289"/>
    </row>
    <row r="44" spans="1:7" x14ac:dyDescent="0.3">
      <c r="A44" s="325" t="s">
        <v>891</v>
      </c>
      <c r="B44" s="326" t="s">
        <v>892</v>
      </c>
      <c r="C44" s="327">
        <v>100</v>
      </c>
      <c r="D44" s="327">
        <v>0</v>
      </c>
      <c r="E44" s="327"/>
      <c r="F44" s="327">
        <v>100</v>
      </c>
    </row>
    <row r="45" spans="1:7" x14ac:dyDescent="0.3">
      <c r="A45" s="275" t="s">
        <v>893</v>
      </c>
      <c r="B45" s="275" t="s">
        <v>894</v>
      </c>
      <c r="C45" s="194">
        <v>0</v>
      </c>
      <c r="D45" s="194">
        <v>0</v>
      </c>
      <c r="E45" s="194"/>
      <c r="F45" s="194">
        <v>0</v>
      </c>
    </row>
    <row r="46" spans="1:7" x14ac:dyDescent="0.3">
      <c r="A46" s="275" t="s">
        <v>895</v>
      </c>
      <c r="B46" s="275" t="s">
        <v>896</v>
      </c>
      <c r="C46" s="194">
        <v>0</v>
      </c>
      <c r="D46" s="194">
        <v>0</v>
      </c>
      <c r="E46" s="194"/>
      <c r="F46" s="194">
        <v>0</v>
      </c>
    </row>
    <row r="47" spans="1:7" x14ac:dyDescent="0.3">
      <c r="A47" s="275" t="s">
        <v>897</v>
      </c>
      <c r="B47" s="275" t="s">
        <v>898</v>
      </c>
      <c r="C47" s="194">
        <v>0</v>
      </c>
      <c r="D47" s="194">
        <v>0</v>
      </c>
      <c r="E47" s="194"/>
      <c r="F47" s="194">
        <v>0</v>
      </c>
    </row>
    <row r="48" spans="1:7" x14ac:dyDescent="0.3">
      <c r="A48" s="275" t="s">
        <v>899</v>
      </c>
      <c r="B48" s="275" t="s">
        <v>900</v>
      </c>
      <c r="C48" s="194">
        <v>0</v>
      </c>
      <c r="D48" s="194">
        <v>0</v>
      </c>
      <c r="E48" s="194"/>
      <c r="F48" s="194">
        <v>0</v>
      </c>
    </row>
    <row r="49" spans="1:6" x14ac:dyDescent="0.3">
      <c r="A49" s="275" t="s">
        <v>901</v>
      </c>
      <c r="B49" s="275" t="s">
        <v>902</v>
      </c>
      <c r="C49" s="194">
        <v>0</v>
      </c>
      <c r="D49" s="194">
        <v>0</v>
      </c>
      <c r="E49" s="194"/>
      <c r="F49" s="194">
        <v>0</v>
      </c>
    </row>
    <row r="50" spans="1:6" x14ac:dyDescent="0.3">
      <c r="A50" s="275" t="s">
        <v>903</v>
      </c>
      <c r="B50" s="275" t="s">
        <v>904</v>
      </c>
      <c r="C50" s="194">
        <v>0</v>
      </c>
      <c r="D50" s="194">
        <v>0</v>
      </c>
      <c r="E50" s="194"/>
      <c r="F50" s="194">
        <v>0</v>
      </c>
    </row>
    <row r="51" spans="1:6" x14ac:dyDescent="0.3">
      <c r="A51" s="275" t="s">
        <v>905</v>
      </c>
      <c r="B51" s="275" t="s">
        <v>906</v>
      </c>
      <c r="C51" s="194">
        <v>0</v>
      </c>
      <c r="D51" s="194">
        <v>0</v>
      </c>
      <c r="E51" s="194"/>
      <c r="F51" s="194">
        <v>0</v>
      </c>
    </row>
    <row r="52" spans="1:6" x14ac:dyDescent="0.3">
      <c r="A52" s="275" t="s">
        <v>907</v>
      </c>
      <c r="B52" s="275" t="s">
        <v>908</v>
      </c>
      <c r="C52" s="194">
        <v>0</v>
      </c>
      <c r="D52" s="194">
        <v>0</v>
      </c>
      <c r="E52" s="194"/>
      <c r="F52" s="194">
        <v>0</v>
      </c>
    </row>
    <row r="53" spans="1:6" x14ac:dyDescent="0.3">
      <c r="A53" s="275" t="s">
        <v>909</v>
      </c>
      <c r="B53" s="275" t="s">
        <v>910</v>
      </c>
      <c r="C53" s="194">
        <v>0</v>
      </c>
      <c r="D53" s="194">
        <v>0</v>
      </c>
      <c r="E53" s="194"/>
      <c r="F53" s="194">
        <v>0</v>
      </c>
    </row>
    <row r="54" spans="1:6" x14ac:dyDescent="0.3">
      <c r="A54" s="275" t="s">
        <v>911</v>
      </c>
      <c r="B54" s="275" t="s">
        <v>163</v>
      </c>
      <c r="C54" s="196">
        <v>100</v>
      </c>
      <c r="D54" s="196">
        <v>0</v>
      </c>
      <c r="E54" s="196"/>
      <c r="F54" s="196">
        <v>100</v>
      </c>
    </row>
    <row r="55" spans="1:6" x14ac:dyDescent="0.3">
      <c r="A55" s="275" t="s">
        <v>912</v>
      </c>
      <c r="B55" s="275" t="s">
        <v>913</v>
      </c>
      <c r="C55" s="194">
        <v>0</v>
      </c>
      <c r="D55" s="194">
        <v>0</v>
      </c>
      <c r="E55" s="194"/>
      <c r="F55" s="194">
        <v>0</v>
      </c>
    </row>
    <row r="56" spans="1:6" x14ac:dyDescent="0.3">
      <c r="A56" s="275" t="s">
        <v>914</v>
      </c>
      <c r="B56" s="275" t="s">
        <v>915</v>
      </c>
      <c r="C56" s="194">
        <v>0</v>
      </c>
      <c r="D56" s="194">
        <v>0</v>
      </c>
      <c r="E56" s="194"/>
      <c r="F56" s="194">
        <v>0</v>
      </c>
    </row>
    <row r="57" spans="1:6" x14ac:dyDescent="0.3">
      <c r="A57" s="275" t="s">
        <v>916</v>
      </c>
      <c r="B57" s="275" t="s">
        <v>917</v>
      </c>
      <c r="C57" s="194">
        <v>0</v>
      </c>
      <c r="D57" s="194">
        <v>0</v>
      </c>
      <c r="E57" s="194"/>
      <c r="F57" s="194">
        <v>0</v>
      </c>
    </row>
    <row r="58" spans="1:6" x14ac:dyDescent="0.3">
      <c r="A58" s="275" t="s">
        <v>918</v>
      </c>
      <c r="B58" s="275" t="s">
        <v>919</v>
      </c>
      <c r="C58" s="194">
        <v>0</v>
      </c>
      <c r="D58" s="194">
        <v>0</v>
      </c>
      <c r="E58" s="194"/>
      <c r="F58" s="194">
        <v>0</v>
      </c>
    </row>
    <row r="59" spans="1:6" x14ac:dyDescent="0.3">
      <c r="A59" s="275" t="s">
        <v>920</v>
      </c>
      <c r="B59" s="275" t="s">
        <v>921</v>
      </c>
      <c r="C59" s="194">
        <v>0</v>
      </c>
      <c r="D59" s="194">
        <v>0</v>
      </c>
      <c r="E59" s="194"/>
      <c r="F59" s="194">
        <v>0</v>
      </c>
    </row>
    <row r="60" spans="1:6" x14ac:dyDescent="0.3">
      <c r="A60" s="275" t="s">
        <v>922</v>
      </c>
      <c r="B60" s="275" t="s">
        <v>923</v>
      </c>
      <c r="C60" s="194">
        <v>0</v>
      </c>
      <c r="D60" s="194">
        <v>0</v>
      </c>
      <c r="E60" s="194"/>
      <c r="F60" s="194">
        <v>0</v>
      </c>
    </row>
    <row r="61" spans="1:6" x14ac:dyDescent="0.3">
      <c r="A61" s="275" t="s">
        <v>924</v>
      </c>
      <c r="B61" s="275" t="s">
        <v>925</v>
      </c>
      <c r="C61" s="194">
        <v>0</v>
      </c>
      <c r="D61" s="194">
        <v>0</v>
      </c>
      <c r="E61" s="194"/>
      <c r="F61" s="194">
        <v>0</v>
      </c>
    </row>
    <row r="62" spans="1:6" x14ac:dyDescent="0.3">
      <c r="A62" s="275" t="s">
        <v>926</v>
      </c>
      <c r="B62" s="275" t="s">
        <v>927</v>
      </c>
      <c r="C62" s="194">
        <v>0</v>
      </c>
      <c r="D62" s="194">
        <v>0</v>
      </c>
      <c r="E62" s="194"/>
      <c r="F62" s="194">
        <v>0</v>
      </c>
    </row>
    <row r="63" spans="1:6" x14ac:dyDescent="0.3">
      <c r="A63" s="275" t="s">
        <v>928</v>
      </c>
      <c r="B63" s="275" t="s">
        <v>929</v>
      </c>
      <c r="C63" s="194">
        <v>0</v>
      </c>
      <c r="D63" s="194">
        <v>0</v>
      </c>
      <c r="E63" s="194"/>
      <c r="F63" s="194">
        <v>0</v>
      </c>
    </row>
    <row r="64" spans="1:6" x14ac:dyDescent="0.3">
      <c r="A64" s="275" t="s">
        <v>930</v>
      </c>
      <c r="B64" s="275" t="s">
        <v>931</v>
      </c>
      <c r="C64" s="194">
        <v>0</v>
      </c>
      <c r="D64" s="194">
        <v>0</v>
      </c>
      <c r="E64" s="194"/>
      <c r="F64" s="194">
        <v>0</v>
      </c>
    </row>
    <row r="65" spans="1:6" x14ac:dyDescent="0.3">
      <c r="A65" s="275" t="s">
        <v>932</v>
      </c>
      <c r="B65" s="275" t="s">
        <v>933</v>
      </c>
      <c r="C65" s="194">
        <v>0</v>
      </c>
      <c r="D65" s="194">
        <v>0</v>
      </c>
      <c r="E65" s="194"/>
      <c r="F65" s="194">
        <v>0</v>
      </c>
    </row>
    <row r="66" spans="1:6" x14ac:dyDescent="0.3">
      <c r="A66" s="275" t="s">
        <v>934</v>
      </c>
      <c r="B66" s="275" t="s">
        <v>935</v>
      </c>
      <c r="C66" s="194">
        <v>0</v>
      </c>
      <c r="D66" s="194">
        <v>0</v>
      </c>
      <c r="E66" s="194"/>
      <c r="F66" s="194">
        <v>0</v>
      </c>
    </row>
    <row r="67" spans="1:6" x14ac:dyDescent="0.3">
      <c r="A67" s="275" t="s">
        <v>936</v>
      </c>
      <c r="B67" s="275" t="s">
        <v>937</v>
      </c>
      <c r="C67" s="194">
        <v>0</v>
      </c>
      <c r="D67" s="194">
        <v>0</v>
      </c>
      <c r="E67" s="194"/>
      <c r="F67" s="194">
        <v>0</v>
      </c>
    </row>
    <row r="68" spans="1:6" x14ac:dyDescent="0.3">
      <c r="A68" s="275" t="s">
        <v>938</v>
      </c>
      <c r="B68" s="275" t="s">
        <v>939</v>
      </c>
      <c r="C68" s="194">
        <v>0</v>
      </c>
      <c r="D68" s="194">
        <v>0</v>
      </c>
      <c r="E68" s="194"/>
      <c r="F68" s="194">
        <v>0</v>
      </c>
    </row>
    <row r="69" spans="1:6" x14ac:dyDescent="0.3">
      <c r="A69" s="275" t="s">
        <v>940</v>
      </c>
      <c r="B69" s="275" t="s">
        <v>941</v>
      </c>
      <c r="C69" s="194">
        <v>0</v>
      </c>
      <c r="D69" s="194">
        <v>0</v>
      </c>
      <c r="E69" s="194"/>
      <c r="F69" s="194">
        <v>0</v>
      </c>
    </row>
    <row r="70" spans="1:6" x14ac:dyDescent="0.3">
      <c r="A70" s="275" t="s">
        <v>942</v>
      </c>
      <c r="B70" s="275" t="s">
        <v>943</v>
      </c>
      <c r="C70" s="194">
        <v>0</v>
      </c>
      <c r="D70" s="194">
        <v>0</v>
      </c>
      <c r="E70" s="194"/>
      <c r="F70" s="194">
        <v>0</v>
      </c>
    </row>
    <row r="71" spans="1:6" x14ac:dyDescent="0.3">
      <c r="A71" s="275" t="s">
        <v>944</v>
      </c>
      <c r="B71" s="275" t="s">
        <v>945</v>
      </c>
      <c r="C71" s="194">
        <v>0</v>
      </c>
      <c r="D71" s="194">
        <v>0</v>
      </c>
      <c r="E71" s="194"/>
      <c r="F71" s="194">
        <v>0</v>
      </c>
    </row>
    <row r="72" spans="1:6" x14ac:dyDescent="0.3">
      <c r="A72" s="325" t="s">
        <v>946</v>
      </c>
      <c r="B72" s="326" t="s">
        <v>564</v>
      </c>
      <c r="C72" s="328">
        <v>0</v>
      </c>
      <c r="D72" s="328">
        <v>0</v>
      </c>
      <c r="E72" s="328"/>
      <c r="F72" s="328">
        <v>0</v>
      </c>
    </row>
    <row r="73" spans="1:6" x14ac:dyDescent="0.3">
      <c r="A73" s="275" t="s">
        <v>947</v>
      </c>
      <c r="B73" s="275" t="s">
        <v>948</v>
      </c>
      <c r="C73" s="194">
        <v>0</v>
      </c>
      <c r="D73" s="194">
        <v>0</v>
      </c>
      <c r="E73" s="194"/>
      <c r="F73" s="194">
        <v>0</v>
      </c>
    </row>
    <row r="74" spans="1:6" x14ac:dyDescent="0.3">
      <c r="A74" s="275" t="s">
        <v>949</v>
      </c>
      <c r="B74" s="275" t="s">
        <v>950</v>
      </c>
      <c r="C74" s="194">
        <v>0</v>
      </c>
      <c r="D74" s="194">
        <v>0</v>
      </c>
      <c r="E74" s="194"/>
      <c r="F74" s="194">
        <v>0</v>
      </c>
    </row>
    <row r="75" spans="1:6" x14ac:dyDescent="0.3">
      <c r="A75" s="275" t="s">
        <v>951</v>
      </c>
      <c r="B75" s="275" t="s">
        <v>952</v>
      </c>
      <c r="C75" s="194">
        <v>0</v>
      </c>
      <c r="D75" s="194">
        <v>0</v>
      </c>
      <c r="E75" s="194"/>
      <c r="F75" s="194">
        <v>0</v>
      </c>
    </row>
    <row r="76" spans="1:6" x14ac:dyDescent="0.3">
      <c r="A76" s="325" t="s">
        <v>953</v>
      </c>
      <c r="B76" s="326" t="s">
        <v>350</v>
      </c>
      <c r="C76" s="328">
        <v>0</v>
      </c>
      <c r="D76" s="328">
        <v>0</v>
      </c>
      <c r="E76" s="328"/>
      <c r="F76" s="328">
        <v>0</v>
      </c>
    </row>
    <row r="77" spans="1:6" x14ac:dyDescent="0.3">
      <c r="A77" s="275" t="s">
        <v>954</v>
      </c>
      <c r="B77" s="290" t="s">
        <v>567</v>
      </c>
      <c r="C77" s="194">
        <v>0</v>
      </c>
      <c r="D77" s="194">
        <v>0</v>
      </c>
      <c r="E77" s="194"/>
      <c r="F77" s="194">
        <v>0</v>
      </c>
    </row>
    <row r="78" spans="1:6" x14ac:dyDescent="0.3">
      <c r="A78" s="275" t="s">
        <v>955</v>
      </c>
      <c r="B78" s="275" t="s">
        <v>570</v>
      </c>
      <c r="C78" s="194">
        <v>0</v>
      </c>
      <c r="D78" s="194">
        <v>0</v>
      </c>
      <c r="E78" s="194"/>
      <c r="F78" s="194">
        <v>0</v>
      </c>
    </row>
    <row r="79" spans="1:6" x14ac:dyDescent="0.3">
      <c r="A79" s="275" t="s">
        <v>956</v>
      </c>
      <c r="B79" s="290" t="s">
        <v>573</v>
      </c>
      <c r="C79" s="194">
        <v>0</v>
      </c>
      <c r="D79" s="194">
        <v>0</v>
      </c>
      <c r="E79" s="194"/>
      <c r="F79" s="194">
        <v>0</v>
      </c>
    </row>
    <row r="80" spans="1:6" x14ac:dyDescent="0.3">
      <c r="A80" s="275" t="s">
        <v>957</v>
      </c>
      <c r="B80" s="290" t="s">
        <v>576</v>
      </c>
      <c r="C80" s="194">
        <v>0</v>
      </c>
      <c r="D80" s="194">
        <v>0</v>
      </c>
      <c r="E80" s="194"/>
      <c r="F80" s="194">
        <v>0</v>
      </c>
    </row>
    <row r="81" spans="1:6" x14ac:dyDescent="0.3">
      <c r="A81" s="275" t="s">
        <v>958</v>
      </c>
      <c r="B81" s="290" t="s">
        <v>579</v>
      </c>
      <c r="C81" s="194">
        <v>0</v>
      </c>
      <c r="D81" s="194">
        <v>0</v>
      </c>
      <c r="E81" s="194"/>
      <c r="F81" s="194">
        <v>0</v>
      </c>
    </row>
    <row r="82" spans="1:6" x14ac:dyDescent="0.3">
      <c r="A82" s="275" t="s">
        <v>959</v>
      </c>
      <c r="B82" s="290" t="s">
        <v>583</v>
      </c>
      <c r="C82" s="194">
        <v>0</v>
      </c>
      <c r="D82" s="194">
        <v>0</v>
      </c>
      <c r="E82" s="194"/>
      <c r="F82" s="194">
        <v>0</v>
      </c>
    </row>
    <row r="83" spans="1:6" x14ac:dyDescent="0.3">
      <c r="A83" s="275" t="s">
        <v>960</v>
      </c>
      <c r="B83" s="290" t="s">
        <v>587</v>
      </c>
      <c r="C83" s="194">
        <v>0</v>
      </c>
      <c r="D83" s="194">
        <v>0</v>
      </c>
      <c r="E83" s="194"/>
      <c r="F83" s="194">
        <v>0</v>
      </c>
    </row>
    <row r="84" spans="1:6" x14ac:dyDescent="0.3">
      <c r="A84" s="275" t="s">
        <v>961</v>
      </c>
      <c r="B84" s="290" t="s">
        <v>591</v>
      </c>
      <c r="C84" s="194">
        <v>0</v>
      </c>
      <c r="D84" s="194">
        <v>0</v>
      </c>
      <c r="E84" s="194"/>
      <c r="F84" s="194">
        <v>0</v>
      </c>
    </row>
    <row r="85" spans="1:6" x14ac:dyDescent="0.3">
      <c r="A85" s="275" t="s">
        <v>962</v>
      </c>
      <c r="B85" s="290" t="s">
        <v>593</v>
      </c>
      <c r="C85" s="194">
        <v>0</v>
      </c>
      <c r="D85" s="194">
        <v>0</v>
      </c>
      <c r="E85" s="194"/>
      <c r="F85" s="194">
        <v>0</v>
      </c>
    </row>
    <row r="86" spans="1:6" x14ac:dyDescent="0.3">
      <c r="A86" s="275" t="s">
        <v>963</v>
      </c>
      <c r="B86" s="290" t="s">
        <v>595</v>
      </c>
      <c r="C86" s="194">
        <v>0</v>
      </c>
      <c r="D86" s="194">
        <v>0</v>
      </c>
      <c r="E86" s="194"/>
      <c r="F86" s="194">
        <v>0</v>
      </c>
    </row>
    <row r="87" spans="1:6" x14ac:dyDescent="0.3">
      <c r="A87" s="275" t="s">
        <v>964</v>
      </c>
      <c r="B87" s="290" t="s">
        <v>350</v>
      </c>
      <c r="C87" s="194">
        <v>0</v>
      </c>
      <c r="D87" s="194">
        <v>0</v>
      </c>
      <c r="E87" s="194"/>
      <c r="F87" s="194">
        <v>0</v>
      </c>
    </row>
    <row r="88" spans="1:6" x14ac:dyDescent="0.3">
      <c r="A88" s="275" t="s">
        <v>965</v>
      </c>
      <c r="B88" s="227" t="s">
        <v>354</v>
      </c>
      <c r="C88" s="194"/>
      <c r="D88" s="194"/>
      <c r="E88" s="194"/>
      <c r="F88" s="194"/>
    </row>
    <row r="89" spans="1:6" x14ac:dyDescent="0.3">
      <c r="A89" s="275" t="s">
        <v>966</v>
      </c>
      <c r="B89" s="227" t="s">
        <v>354</v>
      </c>
      <c r="C89" s="194"/>
      <c r="D89" s="194"/>
      <c r="E89" s="194"/>
      <c r="F89" s="194"/>
    </row>
    <row r="90" spans="1:6" x14ac:dyDescent="0.3">
      <c r="A90" s="275" t="s">
        <v>967</v>
      </c>
      <c r="B90" s="227" t="s">
        <v>354</v>
      </c>
      <c r="C90" s="194"/>
      <c r="D90" s="194"/>
      <c r="E90" s="194"/>
      <c r="F90" s="194"/>
    </row>
    <row r="91" spans="1:6" x14ac:dyDescent="0.3">
      <c r="A91" s="275" t="s">
        <v>968</v>
      </c>
      <c r="B91" s="227" t="s">
        <v>354</v>
      </c>
      <c r="C91" s="194"/>
      <c r="D91" s="194"/>
      <c r="E91" s="194"/>
      <c r="F91" s="194"/>
    </row>
    <row r="92" spans="1:6" x14ac:dyDescent="0.3">
      <c r="A92" s="275" t="s">
        <v>969</v>
      </c>
      <c r="B92" s="227" t="s">
        <v>354</v>
      </c>
      <c r="C92" s="194"/>
      <c r="D92" s="194"/>
      <c r="E92" s="194"/>
      <c r="F92" s="194"/>
    </row>
    <row r="93" spans="1:6" x14ac:dyDescent="0.3">
      <c r="A93" s="275" t="s">
        <v>970</v>
      </c>
      <c r="B93" s="227" t="s">
        <v>354</v>
      </c>
      <c r="C93" s="194"/>
      <c r="D93" s="194"/>
      <c r="E93" s="194"/>
      <c r="F93" s="194"/>
    </row>
    <row r="94" spans="1:6" x14ac:dyDescent="0.3">
      <c r="A94" s="275" t="s">
        <v>971</v>
      </c>
      <c r="B94" s="227" t="s">
        <v>354</v>
      </c>
      <c r="C94" s="194"/>
      <c r="D94" s="194"/>
      <c r="E94" s="194"/>
      <c r="F94" s="194"/>
    </row>
    <row r="95" spans="1:6" x14ac:dyDescent="0.3">
      <c r="A95" s="275" t="s">
        <v>972</v>
      </c>
      <c r="B95" s="227" t="s">
        <v>354</v>
      </c>
      <c r="C95" s="194"/>
      <c r="D95" s="194"/>
      <c r="E95" s="194"/>
      <c r="F95" s="194"/>
    </row>
    <row r="96" spans="1:6" x14ac:dyDescent="0.3">
      <c r="A96" s="275" t="s">
        <v>973</v>
      </c>
      <c r="B96" s="227" t="s">
        <v>354</v>
      </c>
      <c r="C96" s="194"/>
      <c r="D96" s="194"/>
      <c r="E96" s="194"/>
      <c r="F96" s="194"/>
    </row>
    <row r="97" spans="1:7" x14ac:dyDescent="0.3">
      <c r="A97" s="275" t="s">
        <v>974</v>
      </c>
      <c r="B97" s="227" t="s">
        <v>354</v>
      </c>
      <c r="C97" s="194"/>
      <c r="D97" s="194"/>
      <c r="E97" s="194"/>
      <c r="F97" s="194"/>
    </row>
    <row r="98" spans="1:7" x14ac:dyDescent="0.3">
      <c r="A98" s="289"/>
      <c r="B98" s="289" t="s">
        <v>975</v>
      </c>
      <c r="C98" s="289" t="s">
        <v>879</v>
      </c>
      <c r="D98" s="289" t="s">
        <v>880</v>
      </c>
      <c r="E98" s="289"/>
      <c r="F98" s="289" t="s">
        <v>843</v>
      </c>
      <c r="G98" s="289"/>
    </row>
    <row r="99" spans="1:7" x14ac:dyDescent="0.3">
      <c r="A99" s="325" t="s">
        <v>976</v>
      </c>
      <c r="B99" s="194" t="s">
        <v>977</v>
      </c>
      <c r="C99" s="203" cm="1">
        <f t="array" ref="C99">IFERROR((SUMPRODUCT((Cube!$A$2:$A$10001="MOBILISE")*(Cube!$B$2:$B$10001="Geographic Distribution")*(Cube!$C$2:$C$10001=TEXT(G99,"00"))*(Cube!$E$2:$E$10001)))/(SUMPRODUCT((Cube!$A$2:$A$10001="MOBILISE")*(Cube!$B$2:$B$10001="Summary")*(Cube!$C$2:$C$10001="MTKRDC")*(Cube!$E$2:$E$10001))),"")</f>
        <v>0.1409398741194253</v>
      </c>
      <c r="D99" s="198">
        <v>0</v>
      </c>
      <c r="F99" s="203">
        <f t="shared" ref="F99:F112" si="0">C99</f>
        <v>0.1409398741194253</v>
      </c>
      <c r="G99" s="199">
        <v>84</v>
      </c>
    </row>
    <row r="100" spans="1:7" x14ac:dyDescent="0.3">
      <c r="A100" s="275" t="s">
        <v>978</v>
      </c>
      <c r="B100" s="194" t="s">
        <v>979</v>
      </c>
      <c r="C100" s="203" cm="1">
        <f t="array" ref="C100">IFERROR((SUMPRODUCT((Cube!$A$2:$A$10001="MOBILISE")*(Cube!$B$2:$B$10001="Geographic Distribution")*(Cube!$C$2:$C$10001=TEXT(G100,"00"))*(Cube!$E$2:$E$10001)))/(SUMPRODUCT((Cube!$A$2:$A$10001="MOBILISE")*(Cube!$B$2:$B$10001="Summary")*(Cube!$C$2:$C$10001="MTKRDC")*(Cube!$E$2:$E$10001))),"")</f>
        <v>5.0465158383455E-2</v>
      </c>
      <c r="D100" s="198">
        <v>0</v>
      </c>
      <c r="F100" s="203">
        <f t="shared" si="0"/>
        <v>5.0465158383455E-2</v>
      </c>
      <c r="G100" s="199">
        <v>27</v>
      </c>
    </row>
    <row r="101" spans="1:7" x14ac:dyDescent="0.3">
      <c r="A101" s="275" t="s">
        <v>980</v>
      </c>
      <c r="B101" s="194" t="s">
        <v>981</v>
      </c>
      <c r="C101" s="203" cm="1">
        <f t="array" ref="C101">IFERROR((SUMPRODUCT((Cube!$A$2:$A$10001="MOBILISE")*(Cube!$B$2:$B$10001="Geographic Distribution")*(Cube!$C$2:$C$10001=TEXT(G101,"00"))*(Cube!$E$2:$E$10001)))/(SUMPRODUCT((Cube!$A$2:$A$10001="MOBILISE")*(Cube!$B$2:$B$10001="Summary")*(Cube!$C$2:$C$10001="MTKRDC")*(Cube!$E$2:$E$10001))),"")</f>
        <v>4.0991506079201379E-2</v>
      </c>
      <c r="D101" s="198">
        <v>0</v>
      </c>
      <c r="F101" s="203">
        <f t="shared" si="0"/>
        <v>4.0991506079201379E-2</v>
      </c>
      <c r="G101" s="199">
        <v>53</v>
      </c>
    </row>
    <row r="102" spans="1:7" x14ac:dyDescent="0.3">
      <c r="A102" s="275" t="s">
        <v>982</v>
      </c>
      <c r="B102" s="194" t="s">
        <v>983</v>
      </c>
      <c r="C102" s="203" cm="1">
        <f t="array" ref="C102">IFERROR((SUMPRODUCT((Cube!$A$2:$A$10001="MOBILISE")*(Cube!$B$2:$B$10001="Geographic Distribution")*(Cube!$C$2:$C$10001=TEXT(G102,"00"))*(Cube!$E$2:$E$10001)))/(SUMPRODUCT((Cube!$A$2:$A$10001="MOBILISE")*(Cube!$B$2:$B$10001="Summary")*(Cube!$C$2:$C$10001="MTKRDC")*(Cube!$E$2:$E$10001))),"")</f>
        <v>3.2154534478051777E-2</v>
      </c>
      <c r="D102" s="198">
        <v>0</v>
      </c>
      <c r="F102" s="203">
        <f t="shared" si="0"/>
        <v>3.2154534478051777E-2</v>
      </c>
      <c r="G102" s="199">
        <v>24</v>
      </c>
    </row>
    <row r="103" spans="1:7" x14ac:dyDescent="0.3">
      <c r="A103" s="275" t="s">
        <v>984</v>
      </c>
      <c r="B103" s="194" t="s">
        <v>985</v>
      </c>
      <c r="C103" s="203" cm="1">
        <f t="array" ref="C103">IFERROR((SUMPRODUCT((Cube!$A$2:$A$10001="MOBILISE")*(Cube!$B$2:$B$10001="Geographic Distribution")*(Cube!$C$2:$C$10001=TEXT(G103,"00"))*(Cube!$E$2:$E$10001)))/(SUMPRODUCT((Cube!$A$2:$A$10001="MOBILISE")*(Cube!$B$2:$B$10001="Summary")*(Cube!$C$2:$C$10001="MTKRDC")*(Cube!$E$2:$E$10001))),"")</f>
        <v>7.0188040887090748E-3</v>
      </c>
      <c r="D103" s="198">
        <v>0</v>
      </c>
      <c r="F103" s="203">
        <f t="shared" si="0"/>
        <v>7.0188040887090748E-3</v>
      </c>
      <c r="G103" s="199">
        <v>94</v>
      </c>
    </row>
    <row r="104" spans="1:7" x14ac:dyDescent="0.3">
      <c r="A104" s="275" t="s">
        <v>986</v>
      </c>
      <c r="B104" s="194" t="s">
        <v>987</v>
      </c>
      <c r="C104" s="203" cm="1">
        <f t="array" ref="C104">IFERROR((SUMPRODUCT((Cube!$A$2:$A$10001="MOBILISE")*(Cube!$B$2:$B$10001="Geographic Distribution")*(Cube!$C$2:$C$10001=TEXT(G104,"00"))*(Cube!$E$2:$E$10001)))/(SUMPRODUCT((Cube!$A$2:$A$10001="MOBILISE")*(Cube!$B$2:$B$10001="Summary")*(Cube!$C$2:$C$10001="MTKRDC")*(Cube!$E$2:$E$10001))),"")</f>
        <v>7.3360313608716865E-2</v>
      </c>
      <c r="D104" s="198">
        <v>0</v>
      </c>
      <c r="F104" s="203">
        <f t="shared" si="0"/>
        <v>7.3360313608716865E-2</v>
      </c>
      <c r="G104" s="199">
        <v>44</v>
      </c>
    </row>
    <row r="105" spans="1:7" x14ac:dyDescent="0.3">
      <c r="A105" s="275" t="s">
        <v>988</v>
      </c>
      <c r="B105" s="194" t="s">
        <v>989</v>
      </c>
      <c r="C105" s="203" cm="1">
        <f t="array" ref="C105">IFERROR((SUMPRODUCT((Cube!$A$2:$A$10001="MOBILISE")*(Cube!$B$2:$B$10001="Geographic Distribution")*(Cube!$C$2:$C$10001=TEXT(G105,"00"))*(Cube!$E$2:$E$10001)))/(SUMPRODUCT((Cube!$A$2:$A$10001="MOBILISE")*(Cube!$B$2:$B$10001="Summary")*(Cube!$C$2:$C$10001="MTKRDC")*(Cube!$E$2:$E$10001))),"")</f>
        <v>7.4013974353582757E-2</v>
      </c>
      <c r="D105" s="198">
        <v>0</v>
      </c>
      <c r="F105" s="203">
        <f t="shared" si="0"/>
        <v>7.4013974353582757E-2</v>
      </c>
      <c r="G105" s="199">
        <v>32</v>
      </c>
    </row>
    <row r="106" spans="1:7" x14ac:dyDescent="0.3">
      <c r="A106" s="275" t="s">
        <v>990</v>
      </c>
      <c r="B106" s="194" t="s">
        <v>991</v>
      </c>
      <c r="C106" s="203" cm="1">
        <f t="array" ref="C106">IFERROR((SUMPRODUCT((Cube!$A$2:$A$10001="MOBILISE")*(Cube!$B$2:$B$10001="Geographic Distribution")*(Cube!$C$2:$C$10001=TEXT(G106,"00"))*(Cube!$E$2:$E$10001)))/(SUMPRODUCT((Cube!$A$2:$A$10001="MOBILISE")*(Cube!$B$2:$B$10001="Summary")*(Cube!$C$2:$C$10001="MTKRDC")*(Cube!$E$2:$E$10001))),"")</f>
        <v>0.17289080195802814</v>
      </c>
      <c r="D106" s="198">
        <v>0</v>
      </c>
      <c r="F106" s="203">
        <f t="shared" si="0"/>
        <v>0.17289080195802814</v>
      </c>
      <c r="G106" s="199">
        <v>11</v>
      </c>
    </row>
    <row r="107" spans="1:7" x14ac:dyDescent="0.3">
      <c r="A107" s="275" t="s">
        <v>992</v>
      </c>
      <c r="B107" s="194" t="s">
        <v>993</v>
      </c>
      <c r="C107" s="203" cm="1">
        <f t="array" ref="C107">IFERROR((SUMPRODUCT((Cube!$A$2:$A$10001="MOBILISE")*(Cube!$B$2:$B$10001="Geographic Distribution")*(Cube!$C$2:$C$10001=TEXT(G107,"00"))*(Cube!$E$2:$E$10001)))/(SUMPRODUCT((Cube!$A$2:$A$10001="MOBILISE")*(Cube!$B$2:$B$10001="Summary")*(Cube!$C$2:$C$10001="MTKRDC")*(Cube!$E$2:$E$10001))),"")</f>
        <v>3.2744791059081034E-2</v>
      </c>
      <c r="D107" s="198">
        <v>0</v>
      </c>
      <c r="F107" s="203">
        <f t="shared" si="0"/>
        <v>3.2744791059081034E-2</v>
      </c>
      <c r="G107" s="199">
        <v>28</v>
      </c>
    </row>
    <row r="108" spans="1:7" x14ac:dyDescent="0.3">
      <c r="A108" s="275" t="s">
        <v>994</v>
      </c>
      <c r="B108" s="194" t="s">
        <v>995</v>
      </c>
      <c r="C108" s="203" cm="1">
        <f t="array" ref="C108">IFERROR((SUMPRODUCT((Cube!$A$2:$A$10001="MOBILISE")*(Cube!$B$2:$B$10001="Geographic Distribution")*(Cube!$C$2:$C$10001=TEXT(G108,"00"))*(Cube!$E$2:$E$10001)))/(SUMPRODUCT((Cube!$A$2:$A$10001="MOBILISE")*(Cube!$B$2:$B$10001="Summary")*(Cube!$C$2:$C$10001="MTKRDC")*(Cube!$E$2:$E$10001))),"")</f>
        <v>8.9647815028228411E-2</v>
      </c>
      <c r="D108" s="198">
        <v>0</v>
      </c>
      <c r="F108" s="203">
        <f t="shared" si="0"/>
        <v>8.9647815028228411E-2</v>
      </c>
      <c r="G108" s="199">
        <v>75</v>
      </c>
    </row>
    <row r="109" spans="1:7" x14ac:dyDescent="0.3">
      <c r="A109" s="275" t="s">
        <v>996</v>
      </c>
      <c r="B109" s="194" t="s">
        <v>997</v>
      </c>
      <c r="C109" s="203" cm="1">
        <f t="array" ref="C109">IFERROR((SUMPRODUCT((Cube!$A$2:$A$10001="MOBILISE")*(Cube!$B$2:$B$10001="Geographic Distribution")*(Cube!$C$2:$C$10001=TEXT(G109,"00"))*(Cube!$E$2:$E$10001)))/(SUMPRODUCT((Cube!$A$2:$A$10001="MOBILISE")*(Cube!$B$2:$B$10001="Summary")*(Cube!$C$2:$C$10001="MTKRDC")*(Cube!$E$2:$E$10001))),"")</f>
        <v>0.10941807946605876</v>
      </c>
      <c r="D109" s="198">
        <v>0</v>
      </c>
      <c r="F109" s="203">
        <f t="shared" si="0"/>
        <v>0.10941807946605876</v>
      </c>
      <c r="G109" s="199">
        <v>76</v>
      </c>
    </row>
    <row r="110" spans="1:7" x14ac:dyDescent="0.3">
      <c r="A110" s="275" t="s">
        <v>998</v>
      </c>
      <c r="B110" s="194" t="s">
        <v>999</v>
      </c>
      <c r="C110" s="203" cm="1">
        <f t="array" ref="C110">IFERROR((SUMPRODUCT((Cube!$A$2:$A$10001="MOBILISE")*(Cube!$B$2:$B$10001="Geographic Distribution")*(Cube!$C$2:$C$10001=TEXT(G110,"00"))*(Cube!$E$2:$E$10001)))/(SUMPRODUCT((Cube!$A$2:$A$10001="MOBILISE")*(Cube!$B$2:$B$10001="Summary")*(Cube!$C$2:$C$10001="MTKRDC")*(Cube!$E$2:$E$10001))),"")</f>
        <v>1.0450496400555079E-2</v>
      </c>
      <c r="D110" s="198">
        <v>0</v>
      </c>
      <c r="F110" s="203">
        <f t="shared" si="0"/>
        <v>1.0450496400555079E-2</v>
      </c>
      <c r="G110" s="199" t="s">
        <v>1000</v>
      </c>
    </row>
    <row r="111" spans="1:7" x14ac:dyDescent="0.3">
      <c r="A111" s="275" t="s">
        <v>1001</v>
      </c>
      <c r="B111" s="194" t="s">
        <v>1002</v>
      </c>
      <c r="C111" s="203" cm="1">
        <f t="array" ref="C111">IFERROR((SUMPRODUCT((Cube!$A$2:$A$10001="MOBILISE")*(Cube!$B$2:$B$10001="Geographic Distribution")*(Cube!$C$2:$C$10001=TEXT(G111,"00"))*(Cube!$E$2:$E$10001)))/(SUMPRODUCT((Cube!$A$2:$A$10001="MOBILISE")*(Cube!$B$2:$B$10001="Summary")*(Cube!$C$2:$C$10001="MTKRDC")*(Cube!$E$2:$E$10001))),"")</f>
        <v>5.5783919049009312E-2</v>
      </c>
      <c r="D111" s="198">
        <v>0</v>
      </c>
      <c r="F111" s="203">
        <f t="shared" si="0"/>
        <v>5.5783919049009312E-2</v>
      </c>
      <c r="G111" s="199">
        <v>52</v>
      </c>
    </row>
    <row r="112" spans="1:7" x14ac:dyDescent="0.3">
      <c r="A112" s="275" t="s">
        <v>1003</v>
      </c>
      <c r="B112" s="194" t="s">
        <v>1004</v>
      </c>
      <c r="C112" s="203" cm="1">
        <f t="array" ref="C112">IFERROR((SUMPRODUCT((Cube!$A$2:$A$10001="MOBILISE")*(Cube!$B$2:$B$10001="Geographic Distribution")*(Cube!$C$2:$C$10001=TEXT(G112,"00"))*(Cube!$E$2:$E$10001)))/(SUMPRODUCT((Cube!$A$2:$A$10001="MOBILISE")*(Cube!$B$2:$B$10001="Summary")*(Cube!$C$2:$C$10001="MTKRDC")*(Cube!$E$2:$E$10001))),"")</f>
        <v>0.10996613398807141</v>
      </c>
      <c r="D112" s="198">
        <v>0</v>
      </c>
      <c r="F112" s="203">
        <f t="shared" si="0"/>
        <v>0.10996613398807141</v>
      </c>
      <c r="G112" s="199">
        <v>93</v>
      </c>
    </row>
    <row r="113" spans="1:10" x14ac:dyDescent="0.3">
      <c r="A113" s="275" t="s">
        <v>1005</v>
      </c>
      <c r="C113" s="203"/>
      <c r="D113" s="198"/>
      <c r="F113" s="203"/>
      <c r="G113" s="199"/>
    </row>
    <row r="114" spans="1:10" x14ac:dyDescent="0.3">
      <c r="A114" s="275" t="s">
        <v>1006</v>
      </c>
      <c r="B114" s="194" t="s">
        <v>1007</v>
      </c>
      <c r="C114" s="203" cm="1">
        <f t="array" ref="C114">IFERROR((SUMPRODUCT((Cube!$A$2:$A$10001="MOBILISE")*(Cube!$B$2:$B$10001="Geographic Distribution")*(Cube!$C$2:$C$10001=TEXT(G114,"00"))*(Cube!$E$2:$E$10001)))/(SUMPRODUCT((Cube!$A$2:$A$10001="MOBILISE")*(Cube!$B$2:$B$10001="Summary")*(Cube!$C$2:$C$10001="MTKRDC")*(Cube!$E$2:$E$10001))),"")</f>
        <v>0</v>
      </c>
      <c r="D114" s="198"/>
      <c r="F114" s="203">
        <f>C114</f>
        <v>0</v>
      </c>
      <c r="G114" s="199"/>
    </row>
    <row r="115" spans="1:10" x14ac:dyDescent="0.3">
      <c r="A115" s="275" t="s">
        <v>1008</v>
      </c>
      <c r="B115" s="194" t="s">
        <v>1009</v>
      </c>
      <c r="C115" s="203" cm="1">
        <f t="array" ref="C115">IFERROR((SUMPRODUCT((Cube!$A$2:$A$10001="MOBILISE")*(Cube!$B$2:$B$10001="Geographic Distribution")*(Cube!$C$2:$C$10001=TEXT(G115,"00"))*(Cube!$E$2:$E$10001)))/(SUMPRODUCT((Cube!$A$2:$A$10001="MOBILISE")*(Cube!$B$2:$B$10001="Summary")*(Cube!$C$2:$C$10001="MTKRDC")*(Cube!$E$2:$E$10001))),"")</f>
        <v>1.5379793982578212E-4</v>
      </c>
      <c r="D115" s="198">
        <v>0</v>
      </c>
      <c r="F115" s="203">
        <f>C115</f>
        <v>1.5379793982578212E-4</v>
      </c>
      <c r="G115" s="199" t="s">
        <v>1010</v>
      </c>
    </row>
    <row r="116" spans="1:10" x14ac:dyDescent="0.3">
      <c r="A116" s="275" t="s">
        <v>1011</v>
      </c>
    </row>
    <row r="117" spans="1:10" x14ac:dyDescent="0.3">
      <c r="A117" s="275" t="s">
        <v>1012</v>
      </c>
    </row>
    <row r="118" spans="1:10" x14ac:dyDescent="0.3">
      <c r="A118" s="275" t="s">
        <v>1013</v>
      </c>
    </row>
    <row r="119" spans="1:10" x14ac:dyDescent="0.3">
      <c r="A119" s="275" t="s">
        <v>1014</v>
      </c>
    </row>
    <row r="120" spans="1:10" x14ac:dyDescent="0.3">
      <c r="A120" s="275" t="s">
        <v>1015</v>
      </c>
    </row>
    <row r="121" spans="1:10" x14ac:dyDescent="0.3">
      <c r="A121" s="275" t="s">
        <v>1016</v>
      </c>
    </row>
    <row r="122" spans="1:10" x14ac:dyDescent="0.3">
      <c r="A122" s="275" t="s">
        <v>1017</v>
      </c>
    </row>
    <row r="123" spans="1:10" s="194" customFormat="1" x14ac:dyDescent="0.3">
      <c r="A123" s="275" t="s">
        <v>1018</v>
      </c>
      <c r="C123"/>
      <c r="D123"/>
      <c r="E123"/>
      <c r="F123"/>
      <c r="G123"/>
      <c r="H123"/>
      <c r="I123"/>
      <c r="J123"/>
    </row>
    <row r="124" spans="1:10" s="194" customFormat="1" x14ac:dyDescent="0.3">
      <c r="A124" s="275" t="s">
        <v>1019</v>
      </c>
      <c r="C124"/>
      <c r="D124"/>
      <c r="E124"/>
      <c r="F124"/>
      <c r="G124"/>
      <c r="H124"/>
      <c r="I124"/>
      <c r="J124"/>
    </row>
    <row r="125" spans="1:10" s="194" customFormat="1" x14ac:dyDescent="0.3">
      <c r="A125" s="275" t="s">
        <v>1020</v>
      </c>
      <c r="C125"/>
      <c r="D125"/>
      <c r="E125"/>
      <c r="F125"/>
      <c r="G125"/>
      <c r="H125"/>
      <c r="I125"/>
      <c r="J125"/>
    </row>
    <row r="126" spans="1:10" s="194" customFormat="1" x14ac:dyDescent="0.3">
      <c r="A126" s="275" t="s">
        <v>1021</v>
      </c>
      <c r="C126"/>
      <c r="D126"/>
      <c r="E126"/>
      <c r="F126"/>
      <c r="G126"/>
      <c r="H126"/>
      <c r="I126"/>
      <c r="J126"/>
    </row>
    <row r="127" spans="1:10" s="194" customFormat="1" x14ac:dyDescent="0.3">
      <c r="A127" s="275" t="s">
        <v>1022</v>
      </c>
      <c r="C127"/>
      <c r="D127"/>
      <c r="E127"/>
      <c r="F127"/>
      <c r="G127"/>
      <c r="H127"/>
      <c r="I127"/>
      <c r="J127"/>
    </row>
    <row r="128" spans="1:10" s="194" customFormat="1" x14ac:dyDescent="0.3">
      <c r="A128" s="275" t="s">
        <v>1023</v>
      </c>
      <c r="C128"/>
      <c r="D128"/>
      <c r="E128"/>
      <c r="F128"/>
      <c r="G128"/>
      <c r="H128"/>
      <c r="I128"/>
      <c r="J128"/>
    </row>
    <row r="129" spans="1:10" s="194" customFormat="1" x14ac:dyDescent="0.3">
      <c r="A129" s="275" t="s">
        <v>1024</v>
      </c>
      <c r="C129"/>
      <c r="D129"/>
      <c r="E129"/>
      <c r="F129"/>
      <c r="G129"/>
      <c r="H129"/>
      <c r="I129"/>
      <c r="J129"/>
    </row>
    <row r="130" spans="1:10" s="194" customFormat="1" x14ac:dyDescent="0.3">
      <c r="A130" s="275" t="s">
        <v>1025</v>
      </c>
      <c r="C130"/>
      <c r="D130"/>
      <c r="E130"/>
      <c r="F130"/>
      <c r="G130"/>
      <c r="H130"/>
      <c r="I130"/>
      <c r="J130"/>
    </row>
    <row r="131" spans="1:10" s="194" customFormat="1" x14ac:dyDescent="0.3">
      <c r="A131" s="275" t="s">
        <v>1026</v>
      </c>
      <c r="C131"/>
      <c r="D131"/>
      <c r="E131"/>
      <c r="F131"/>
      <c r="G131"/>
      <c r="H131"/>
      <c r="I131"/>
      <c r="J131"/>
    </row>
    <row r="132" spans="1:10" s="194" customFormat="1" x14ac:dyDescent="0.3">
      <c r="A132" s="275" t="s">
        <v>1027</v>
      </c>
      <c r="C132"/>
      <c r="D132"/>
      <c r="E132"/>
      <c r="F132"/>
      <c r="G132"/>
      <c r="H132"/>
      <c r="I132"/>
      <c r="J132"/>
    </row>
    <row r="133" spans="1:10" s="194" customFormat="1" x14ac:dyDescent="0.3">
      <c r="A133" s="275" t="s">
        <v>1028</v>
      </c>
      <c r="C133"/>
      <c r="D133"/>
      <c r="E133"/>
      <c r="F133"/>
      <c r="G133"/>
      <c r="H133"/>
      <c r="I133"/>
      <c r="J133"/>
    </row>
    <row r="134" spans="1:10" s="194" customFormat="1" x14ac:dyDescent="0.3">
      <c r="A134" s="275" t="s">
        <v>1029</v>
      </c>
      <c r="C134"/>
      <c r="D134"/>
      <c r="E134"/>
      <c r="F134"/>
      <c r="G134"/>
      <c r="H134"/>
      <c r="I134"/>
      <c r="J134"/>
    </row>
    <row r="135" spans="1:10" s="194" customFormat="1" x14ac:dyDescent="0.3">
      <c r="A135" s="275" t="s">
        <v>1030</v>
      </c>
      <c r="C135"/>
      <c r="D135"/>
      <c r="E135"/>
      <c r="F135"/>
      <c r="G135"/>
      <c r="H135"/>
      <c r="I135"/>
      <c r="J135"/>
    </row>
    <row r="136" spans="1:10" s="194" customFormat="1" x14ac:dyDescent="0.3">
      <c r="A136" s="275" t="s">
        <v>1031</v>
      </c>
      <c r="C136"/>
      <c r="D136"/>
      <c r="E136"/>
      <c r="F136"/>
      <c r="G136"/>
      <c r="H136"/>
      <c r="I136"/>
      <c r="J136"/>
    </row>
    <row r="137" spans="1:10" s="194" customFormat="1" x14ac:dyDescent="0.3">
      <c r="A137" s="275" t="s">
        <v>1032</v>
      </c>
      <c r="C137"/>
      <c r="D137"/>
      <c r="E137"/>
      <c r="F137"/>
      <c r="G137"/>
      <c r="H137"/>
      <c r="I137"/>
      <c r="J137"/>
    </row>
    <row r="138" spans="1:10" s="194" customFormat="1" x14ac:dyDescent="0.3">
      <c r="A138" s="275" t="s">
        <v>1033</v>
      </c>
      <c r="C138"/>
      <c r="D138"/>
      <c r="E138"/>
      <c r="F138"/>
      <c r="G138"/>
      <c r="H138"/>
      <c r="I138"/>
      <c r="J138"/>
    </row>
    <row r="139" spans="1:10" x14ac:dyDescent="0.3">
      <c r="A139" s="275" t="s">
        <v>1034</v>
      </c>
    </row>
    <row r="140" spans="1:10" x14ac:dyDescent="0.3">
      <c r="A140" s="275" t="s">
        <v>1035</v>
      </c>
    </row>
    <row r="141" spans="1:10" x14ac:dyDescent="0.3">
      <c r="A141" s="275" t="s">
        <v>1036</v>
      </c>
    </row>
    <row r="142" spans="1:10" x14ac:dyDescent="0.3">
      <c r="A142" s="275" t="s">
        <v>1037</v>
      </c>
    </row>
    <row r="143" spans="1:10" x14ac:dyDescent="0.3">
      <c r="A143" s="275" t="s">
        <v>1038</v>
      </c>
    </row>
    <row r="144" spans="1:10" x14ac:dyDescent="0.3">
      <c r="A144" s="275" t="s">
        <v>1039</v>
      </c>
    </row>
    <row r="145" spans="1:7" x14ac:dyDescent="0.3">
      <c r="A145" s="275" t="s">
        <v>1040</v>
      </c>
    </row>
    <row r="146" spans="1:7" x14ac:dyDescent="0.3">
      <c r="A146" s="275" t="s">
        <v>1041</v>
      </c>
    </row>
    <row r="147" spans="1:7" x14ac:dyDescent="0.3">
      <c r="A147" s="275" t="s">
        <v>1042</v>
      </c>
    </row>
    <row r="148" spans="1:7" x14ac:dyDescent="0.3">
      <c r="A148" s="275" t="s">
        <v>1043</v>
      </c>
    </row>
    <row r="149" spans="1:7" x14ac:dyDescent="0.3">
      <c r="A149" s="289"/>
      <c r="B149" s="289" t="s">
        <v>1044</v>
      </c>
      <c r="C149" s="289" t="s">
        <v>879</v>
      </c>
      <c r="D149" s="289" t="s">
        <v>880</v>
      </c>
      <c r="E149" s="289"/>
      <c r="F149" s="289" t="s">
        <v>843</v>
      </c>
      <c r="G149" s="289"/>
    </row>
    <row r="150" spans="1:7" x14ac:dyDescent="0.3">
      <c r="A150" s="275" t="s">
        <v>1045</v>
      </c>
      <c r="B150" s="275" t="s">
        <v>1046</v>
      </c>
      <c r="C150" s="203" cm="1">
        <f t="array" ref="C150">IFERROR((SUMPRODUCT((Cube!$A$2:$A$10001="MOBILISE")*(Cube!$B$2:$B$10001="Interest Rate Swaps")*(Cube!$C$2:$C$10001="F")*(Cube!$E$2:$E$10001)))/(SUMPRODUCT((Cube!$A$2:$A$10001="MOBILISE")*(Cube!$B$2:$B$10001="Summary")*(Cube!$C$2:$C$10001="MTKRDC")*(Cube!$E$2:$E$10001))),"")</f>
        <v>0.99914418155247509</v>
      </c>
      <c r="D150" s="200">
        <v>0</v>
      </c>
      <c r="F150" s="203">
        <f>C150</f>
        <v>0.99914418155247509</v>
      </c>
    </row>
    <row r="151" spans="1:7" x14ac:dyDescent="0.3">
      <c r="A151" s="275" t="s">
        <v>1047</v>
      </c>
      <c r="B151" s="275" t="s">
        <v>1048</v>
      </c>
      <c r="C151" s="203" cm="1">
        <f t="array" ref="C151">IFERROR((SUMPRODUCT((Cube!$A$2:$A$10001="MOBILISE")*(Cube!$B$2:$B$10001="Interest Rate Swaps")*(Cube!$C$2:$C$10001="SCAP")*(Cube!$E$2:$E$10001)))/(SUMPRODUCT((Cube!$A$2:$A$10001="MOBILISE")*(Cube!$B$2:$B$10001="Summary")*(Cube!$C$2:$C$10001="MTKRDC")*(Cube!$E$2:$E$10001))),"")</f>
        <v>4.3888310692464097E-5</v>
      </c>
      <c r="D151" s="200">
        <v>0</v>
      </c>
      <c r="F151" s="203">
        <f>C151</f>
        <v>4.3888310692464097E-5</v>
      </c>
    </row>
    <row r="152" spans="1:7" x14ac:dyDescent="0.3">
      <c r="A152" s="275" t="s">
        <v>1049</v>
      </c>
      <c r="B152" s="275" t="s">
        <v>350</v>
      </c>
      <c r="C152" s="203" cm="1">
        <f t="array" ref="C152">IFERROR((SUMPRODUCT((Cube!$A$2:$A$10001="MOBILISE")*(Cube!$B$2:$B$10001="Interest Rate Swaps")*(Cube!$C$2:$C$10001="CAP")*(Cube!$E$2:$E$10001)))/(SUMPRODUCT((Cube!$A$2:$A$10001="MOBILISE")*(Cube!$B$2:$B$10001="Summary")*(Cube!$C$2:$C$10001="MTKRDC")*(Cube!$E$2:$E$10001))),"")</f>
        <v>8.1193013683258518E-4</v>
      </c>
      <c r="D152" s="200">
        <v>0</v>
      </c>
      <c r="F152" s="203">
        <f>C152</f>
        <v>8.1193013683258518E-4</v>
      </c>
    </row>
    <row r="153" spans="1:7" x14ac:dyDescent="0.3">
      <c r="A153" s="275" t="s">
        <v>1050</v>
      </c>
      <c r="B153" s="230"/>
    </row>
    <row r="154" spans="1:7" x14ac:dyDescent="0.3">
      <c r="A154" s="275" t="s">
        <v>1051</v>
      </c>
      <c r="B154" s="230"/>
    </row>
    <row r="155" spans="1:7" x14ac:dyDescent="0.3">
      <c r="A155" s="275" t="s">
        <v>1052</v>
      </c>
      <c r="B155" s="230"/>
    </row>
    <row r="156" spans="1:7" x14ac:dyDescent="0.3">
      <c r="A156" s="275" t="s">
        <v>1053</v>
      </c>
      <c r="B156" s="230"/>
    </row>
    <row r="157" spans="1:7" x14ac:dyDescent="0.3">
      <c r="A157" s="275" t="s">
        <v>1054</v>
      </c>
      <c r="B157" s="229"/>
    </row>
    <row r="158" spans="1:7" x14ac:dyDescent="0.3">
      <c r="A158" s="275" t="s">
        <v>1055</v>
      </c>
      <c r="B158" s="229"/>
    </row>
    <row r="159" spans="1:7" x14ac:dyDescent="0.3">
      <c r="A159" s="289"/>
      <c r="B159" s="289" t="s">
        <v>1056</v>
      </c>
      <c r="C159" s="289" t="s">
        <v>879</v>
      </c>
      <c r="D159" s="289" t="s">
        <v>880</v>
      </c>
      <c r="E159" s="289"/>
      <c r="F159" s="289" t="s">
        <v>843</v>
      </c>
      <c r="G159" s="289"/>
    </row>
    <row r="160" spans="1:7" x14ac:dyDescent="0.3">
      <c r="A160" s="275" t="s">
        <v>1057</v>
      </c>
      <c r="B160" s="275" t="s">
        <v>1058</v>
      </c>
      <c r="C160" s="203">
        <v>0</v>
      </c>
      <c r="D160" s="200">
        <v>0</v>
      </c>
      <c r="F160" s="203">
        <f>C160</f>
        <v>0</v>
      </c>
    </row>
    <row r="161" spans="1:8" x14ac:dyDescent="0.3">
      <c r="A161" s="275" t="s">
        <v>1059</v>
      </c>
      <c r="B161" s="275" t="s">
        <v>1060</v>
      </c>
      <c r="C161" s="203">
        <v>1</v>
      </c>
      <c r="D161" s="200">
        <v>0</v>
      </c>
      <c r="F161" s="203">
        <f>C161</f>
        <v>1</v>
      </c>
    </row>
    <row r="162" spans="1:8" x14ac:dyDescent="0.3">
      <c r="A162" s="275" t="s">
        <v>1061</v>
      </c>
      <c r="B162" s="275" t="s">
        <v>350</v>
      </c>
      <c r="C162" s="203">
        <v>0</v>
      </c>
      <c r="D162" s="200">
        <v>0</v>
      </c>
      <c r="F162" s="203">
        <f>C162</f>
        <v>0</v>
      </c>
    </row>
    <row r="163" spans="1:8" x14ac:dyDescent="0.3">
      <c r="A163" s="275" t="s">
        <v>1062</v>
      </c>
      <c r="B163" s="230"/>
    </row>
    <row r="164" spans="1:8" x14ac:dyDescent="0.3">
      <c r="A164" s="275" t="s">
        <v>1063</v>
      </c>
      <c r="B164" s="230"/>
    </row>
    <row r="165" spans="1:8" x14ac:dyDescent="0.3">
      <c r="A165" s="275" t="s">
        <v>1064</v>
      </c>
      <c r="B165" s="230"/>
    </row>
    <row r="166" spans="1:8" x14ac:dyDescent="0.3">
      <c r="A166" s="275" t="s">
        <v>1065</v>
      </c>
      <c r="B166" s="229"/>
    </row>
    <row r="167" spans="1:8" x14ac:dyDescent="0.3">
      <c r="A167" s="275" t="s">
        <v>1066</v>
      </c>
      <c r="B167" s="229"/>
    </row>
    <row r="168" spans="1:8" x14ac:dyDescent="0.3">
      <c r="A168" s="275" t="s">
        <v>1067</v>
      </c>
      <c r="B168" s="229"/>
    </row>
    <row r="169" spans="1:8" x14ac:dyDescent="0.3">
      <c r="A169" s="289"/>
      <c r="B169" s="289" t="s">
        <v>1068</v>
      </c>
      <c r="C169" s="289" t="s">
        <v>879</v>
      </c>
      <c r="D169" s="289" t="s">
        <v>880</v>
      </c>
      <c r="E169" s="289"/>
      <c r="F169" s="289" t="s">
        <v>843</v>
      </c>
      <c r="G169" s="289"/>
    </row>
    <row r="170" spans="1:8" x14ac:dyDescent="0.3">
      <c r="A170" s="275" t="s">
        <v>1069</v>
      </c>
      <c r="B170" s="299" t="s">
        <v>1070</v>
      </c>
      <c r="C170" s="203" cm="1">
        <f t="array" ref="C170">IFERROR(SUMPRODUCT((Cube!$A$2:$A$10000="MOBILISE")*(Cube!$B$2:$B$10000="Seasoning")*(Cube!$C$2:$C$10000=H170)*(Cube!$E$2:$E$10000)) / SUMPRODUCT((Cube!$A$2:$A$10000="MOBILISE")*(Cube!$B$2:$B$10000="Summary")*(Cube!$C$2:$C$10000="MTKRDC")*(Cube!$E$2:$E$10000)),"")</f>
        <v>2.2149949013386575E-2</v>
      </c>
      <c r="D170" s="200">
        <v>0</v>
      </c>
      <c r="F170" s="203">
        <f>C170</f>
        <v>2.2149949013386575E-2</v>
      </c>
      <c r="H170" s="9" t="s">
        <v>475</v>
      </c>
    </row>
    <row r="171" spans="1:8" x14ac:dyDescent="0.3">
      <c r="A171" s="275" t="s">
        <v>1071</v>
      </c>
      <c r="B171" s="299" t="s">
        <v>1072</v>
      </c>
      <c r="C171" s="203" cm="1">
        <f t="array" ref="C171">IFERROR(SUMPRODUCT((Cube!$A$2:$A$10000="MOBILISE")*(Cube!$B$2:$B$10000="Seasoning")*(Cube!$C$2:$C$10000=H171)*(Cube!$E$2:$E$10000)) / SUMPRODUCT((Cube!$A$2:$A$10000="MOBILISE")*(Cube!$B$2:$B$10000="Summary")*(Cube!$C$2:$C$10000="MTKRDC")*(Cube!$E$2:$E$10000)),"")</f>
        <v>4.373960900963015E-2</v>
      </c>
      <c r="D171" s="200">
        <v>0</v>
      </c>
      <c r="F171" s="203">
        <f>C171</f>
        <v>4.373960900963015E-2</v>
      </c>
      <c r="H171" s="9" t="s">
        <v>477</v>
      </c>
    </row>
    <row r="172" spans="1:8" x14ac:dyDescent="0.3">
      <c r="A172" s="275" t="s">
        <v>1073</v>
      </c>
      <c r="B172" s="299" t="s">
        <v>1074</v>
      </c>
      <c r="C172" s="203" cm="1">
        <f t="array" ref="C172">IFERROR(SUMPRODUCT((Cube!$A$2:$A$10000="MOBILISE")*(Cube!$B$2:$B$10000="Seasoning")*(Cube!$C$2:$C$10000=H172)*(Cube!$E$2:$E$10000)) / SUMPRODUCT((Cube!$A$2:$A$10000="MOBILISE")*(Cube!$B$2:$B$10000="Summary")*(Cube!$C$2:$C$10000="MTKRDC")*(Cube!$E$2:$E$10000)),"")</f>
        <v>5.8075045267545304E-2</v>
      </c>
      <c r="D172" s="200">
        <v>0</v>
      </c>
      <c r="F172" s="203">
        <f>C172</f>
        <v>5.8075045267545304E-2</v>
      </c>
      <c r="H172" s="9" t="s">
        <v>479</v>
      </c>
    </row>
    <row r="173" spans="1:8" x14ac:dyDescent="0.3">
      <c r="A173" s="275" t="s">
        <v>1075</v>
      </c>
      <c r="B173" s="299" t="s">
        <v>1076</v>
      </c>
      <c r="C173" s="203" cm="1">
        <f t="array" ref="C173">IFERROR(SUMPRODUCT((Cube!$A$2:$A$10000="MOBILISE")*(Cube!$B$2:$B$10000="Seasoning")*(Cube!$C$2:$C$10000=H173)*(Cube!$E$2:$E$10000)) / SUMPRODUCT((Cube!$A$2:$A$10000="MOBILISE")*(Cube!$B$2:$B$10000="Summary")*(Cube!$C$2:$C$10000="MTKRDC")*(Cube!$E$2:$E$10000)),"")</f>
        <v>0.27211236471415051</v>
      </c>
      <c r="D173" s="200">
        <v>0</v>
      </c>
      <c r="F173" s="203">
        <f>C173</f>
        <v>0.27211236471415051</v>
      </c>
      <c r="H173" s="9" t="s">
        <v>481</v>
      </c>
    </row>
    <row r="174" spans="1:8" x14ac:dyDescent="0.3">
      <c r="A174" s="275" t="s">
        <v>1077</v>
      </c>
      <c r="B174" s="299" t="s">
        <v>1078</v>
      </c>
      <c r="C174" s="203" cm="1">
        <f t="array" ref="C174">IFERROR(SUMPRODUCT((Cube!$A$2:$A$10000="MOBILISE")*(Cube!$B$2:$B$10000="Seasoning")*(Cube!$C$2:$C$10000=H174)*(Cube!$E$2:$E$10000)) / SUMPRODUCT((Cube!$A$2:$A$10000="MOBILISE")*(Cube!$B$2:$B$10000="Summary")*(Cube!$C$2:$C$10000="MTKRDC")*(Cube!$E$2:$E$10000)),"")</f>
        <v>0.60392303199528752</v>
      </c>
      <c r="D174" s="200">
        <v>0</v>
      </c>
      <c r="F174" s="203">
        <f>C174</f>
        <v>0.60392303199528752</v>
      </c>
      <c r="H174" s="9" t="s">
        <v>483</v>
      </c>
    </row>
    <row r="175" spans="1:8" x14ac:dyDescent="0.3">
      <c r="A175" s="275" t="s">
        <v>1079</v>
      </c>
      <c r="B175" s="228"/>
    </row>
    <row r="176" spans="1:8" x14ac:dyDescent="0.3">
      <c r="A176" s="275" t="s">
        <v>1080</v>
      </c>
      <c r="B176" s="228"/>
    </row>
    <row r="177" spans="1:8" x14ac:dyDescent="0.3">
      <c r="A177" s="275" t="s">
        <v>1081</v>
      </c>
      <c r="B177" s="329"/>
    </row>
    <row r="178" spans="1:8" x14ac:dyDescent="0.3">
      <c r="A178" s="275" t="s">
        <v>1082</v>
      </c>
      <c r="B178" s="329"/>
    </row>
    <row r="179" spans="1:8" x14ac:dyDescent="0.3">
      <c r="A179" s="289"/>
      <c r="B179" s="289" t="s">
        <v>1083</v>
      </c>
      <c r="C179" s="289" t="s">
        <v>879</v>
      </c>
      <c r="D179" s="289" t="s">
        <v>880</v>
      </c>
      <c r="E179" s="289"/>
      <c r="F179" s="289" t="s">
        <v>843</v>
      </c>
      <c r="G179" s="289"/>
    </row>
    <row r="180" spans="1:8" x14ac:dyDescent="0.3">
      <c r="A180" s="275" t="s">
        <v>1084</v>
      </c>
      <c r="B180" s="275" t="s">
        <v>1085</v>
      </c>
      <c r="C180" s="200">
        <v>0</v>
      </c>
      <c r="D180" s="200">
        <v>0</v>
      </c>
      <c r="E180" s="200"/>
      <c r="F180" s="198">
        <f>C180</f>
        <v>0</v>
      </c>
    </row>
    <row r="181" spans="1:8" x14ac:dyDescent="0.3">
      <c r="A181" s="275" t="s">
        <v>1086</v>
      </c>
      <c r="B181" s="330" t="s">
        <v>1087</v>
      </c>
      <c r="C181" s="200"/>
      <c r="D181" s="200"/>
      <c r="E181" s="200"/>
      <c r="F181" s="198"/>
    </row>
    <row r="182" spans="1:8" x14ac:dyDescent="0.3">
      <c r="A182" s="275" t="s">
        <v>1088</v>
      </c>
      <c r="B182" s="331"/>
    </row>
    <row r="183" spans="1:8" x14ac:dyDescent="0.3">
      <c r="A183" s="275" t="s">
        <v>1089</v>
      </c>
      <c r="B183" s="331"/>
    </row>
    <row r="184" spans="1:8" x14ac:dyDescent="0.3">
      <c r="A184" s="275" t="s">
        <v>1090</v>
      </c>
      <c r="B184" s="331"/>
    </row>
    <row r="185" spans="1:8" ht="18.75" customHeight="1" x14ac:dyDescent="0.3">
      <c r="A185" s="332"/>
      <c r="B185" s="333" t="s">
        <v>840</v>
      </c>
      <c r="C185" s="332"/>
      <c r="D185" s="332"/>
      <c r="E185" s="332"/>
      <c r="F185" s="332"/>
      <c r="G185" s="332"/>
    </row>
    <row r="186" spans="1:8" x14ac:dyDescent="0.3">
      <c r="A186" s="289"/>
      <c r="B186" s="289" t="s">
        <v>1091</v>
      </c>
      <c r="C186" s="289" t="s">
        <v>1092</v>
      </c>
      <c r="D186" s="289" t="s">
        <v>1093</v>
      </c>
      <c r="E186" s="289"/>
      <c r="F186" s="289" t="s">
        <v>879</v>
      </c>
      <c r="G186" s="289" t="s">
        <v>519</v>
      </c>
    </row>
    <row r="187" spans="1:8" x14ac:dyDescent="0.3">
      <c r="A187" s="275" t="s">
        <v>1094</v>
      </c>
      <c r="B187" s="290" t="s">
        <v>1095</v>
      </c>
      <c r="C187" s="204" cm="1">
        <f t="array" ref="C187">(SUMPRODUCT((Cube!$A$2:$A$9999="MOBILISE")*(Cube!$B$2:$B$9999="Summary")*(Cube!$C$2:$C$9999="MTKRDC")*(Cube!$I$2:$I$9999)))/1000</f>
        <v>87.802669999999992</v>
      </c>
      <c r="D187" s="202" cm="1">
        <f t="array" ref="D187">(SUMPRODUCT((Cube!$A$2:$A$9999="MOBILISE")*(Cube!$B$2:$B$9999="Summary")*(Cube!$C$2:$C$9999="MTKRDC")*(Cube!$D$2:$D$9999)))</f>
        <v>971224</v>
      </c>
      <c r="F187" s="198"/>
      <c r="G187" s="198"/>
    </row>
    <row r="188" spans="1:8" x14ac:dyDescent="0.3">
      <c r="A188" s="334"/>
      <c r="B188" s="335"/>
      <c r="F188" s="198"/>
      <c r="G188" s="198"/>
    </row>
    <row r="189" spans="1:8" x14ac:dyDescent="0.3">
      <c r="A189" s="229"/>
      <c r="B189" s="290" t="s">
        <v>1096</v>
      </c>
      <c r="F189" s="198"/>
      <c r="G189" s="198"/>
    </row>
    <row r="190" spans="1:8" x14ac:dyDescent="0.3">
      <c r="A190" s="275" t="s">
        <v>1097</v>
      </c>
      <c r="B190" s="194" t="s">
        <v>1098</v>
      </c>
      <c r="C190" s="202" cm="1">
        <f t="array" ref="C190">SUMPRODUCT((Cube!$A$2:$A$10000="MOBILISE")*(Cube!$B$2:$B$10000="Breakdown by Outstanding balance")*(Cube!$C$2:$C$10000=$H190)*(Cube!$E$2:$E$10000))/1000000</f>
        <v>61316.702668739999</v>
      </c>
      <c r="D190" s="202" cm="1">
        <f t="array" ref="D190">SUMPRODUCT((Cube!$A$2:$A$10000="MOBILISE")*(Cube!$B$2:$B$10000="Breakdown by Outstanding balance")*(Cube!$C$2:$C$10000=$H190)*(Cube!$D$2:$D$10000))</f>
        <v>881910</v>
      </c>
      <c r="F190" s="203">
        <f t="shared" ref="F190:G195" si="1">IFERROR(C190/C$214,"")</f>
        <v>0.71903765270558362</v>
      </c>
      <c r="G190" s="203">
        <f t="shared" si="1"/>
        <v>0.90803975190069441</v>
      </c>
      <c r="H190" s="9" t="s">
        <v>528</v>
      </c>
    </row>
    <row r="191" spans="1:8" x14ac:dyDescent="0.3">
      <c r="A191" s="275" t="s">
        <v>1099</v>
      </c>
      <c r="B191" s="194" t="s">
        <v>1100</v>
      </c>
      <c r="C191" s="202" cm="1">
        <f t="array" ref="C191">SUMPRODUCT((Cube!$A$2:$A$10000="MOBILISE")*(Cube!$B$2:$B$10000="Breakdown by Outstanding balance")*(Cube!$C$2:$C$10000=$H191)*(Cube!$E$2:$E$10000))/1000000</f>
        <v>22060.682123439998</v>
      </c>
      <c r="D191" s="202" cm="1">
        <f t="array" ref="D191">SUMPRODUCT((Cube!$A$2:$A$10000="MOBILISE")*(Cube!$B$2:$B$10000="Breakdown by Outstanding balance")*(Cube!$C$2:$C$10000=$H191)*(Cube!$D$2:$D$10000))</f>
        <v>85010</v>
      </c>
      <c r="F191" s="203">
        <f t="shared" si="1"/>
        <v>0.25869722931479811</v>
      </c>
      <c r="G191" s="203">
        <f t="shared" si="1"/>
        <v>8.7528726637727233E-2</v>
      </c>
      <c r="H191" s="9" t="s">
        <v>530</v>
      </c>
    </row>
    <row r="192" spans="1:8" x14ac:dyDescent="0.3">
      <c r="A192" s="275" t="s">
        <v>1101</v>
      </c>
      <c r="B192" s="194" t="s">
        <v>1102</v>
      </c>
      <c r="C192" s="202" cm="1">
        <f t="array" ref="C192">SUMPRODUCT((Cube!$A$2:$A$10000="MOBILISE")*(Cube!$B$2:$B$10000="Breakdown by Outstanding balance")*(Cube!$C$2:$C$10000=$H192)*(Cube!$E$2:$E$10000))/1000000</f>
        <v>1898.0443203699999</v>
      </c>
      <c r="D192" s="202" cm="1">
        <f t="array" ref="D192">SUMPRODUCT((Cube!$A$2:$A$10000="MOBILISE")*(Cube!$B$2:$B$10000="Breakdown by Outstanding balance")*(Cube!$C$2:$C$10000=$H192)*(Cube!$D$2:$D$10000))</f>
        <v>4303</v>
      </c>
      <c r="F192" s="203">
        <f t="shared" si="1"/>
        <v>2.2257643895547949E-2</v>
      </c>
      <c r="G192" s="203">
        <f t="shared" si="1"/>
        <v>4.4304918329860056E-3</v>
      </c>
      <c r="H192" s="9" t="s">
        <v>532</v>
      </c>
    </row>
    <row r="193" spans="1:8" x14ac:dyDescent="0.3">
      <c r="A193" s="275" t="s">
        <v>1103</v>
      </c>
      <c r="B193" s="194" t="s">
        <v>1104</v>
      </c>
      <c r="C193" s="202" cm="1">
        <f t="array" ref="C193">SUMPRODUCT((Cube!$A$2:$A$10000="MOBILISE")*(Cube!$B$2:$B$10000="Breakdown by Outstanding balance")*(Cube!$C$2:$C$10000=$H193)*(Cube!$E$2:$E$10000))/1000000</f>
        <v>0.63736048999999995</v>
      </c>
      <c r="D193" s="202" cm="1">
        <f t="array" ref="D193">SUMPRODUCT((Cube!$A$2:$A$10000="MOBILISE")*(Cube!$B$2:$B$10000="Breakdown by Outstanding balance")*(Cube!$C$2:$C$10000=$H193)*(Cube!$D$2:$D$10000))</f>
        <v>1</v>
      </c>
      <c r="F193" s="203">
        <f t="shared" si="1"/>
        <v>7.4740840702531843E-6</v>
      </c>
      <c r="G193" s="203">
        <f t="shared" si="1"/>
        <v>1.0296285923741588E-6</v>
      </c>
      <c r="H193" s="9" t="s">
        <v>535</v>
      </c>
    </row>
    <row r="194" spans="1:8" x14ac:dyDescent="0.3">
      <c r="A194" s="275" t="s">
        <v>1105</v>
      </c>
      <c r="B194" s="194" t="s">
        <v>1106</v>
      </c>
      <c r="C194" s="202" cm="1">
        <f t="array" ref="C194">SUMPRODUCT((Cube!$A$2:$A$10000="MOBILISE")*(Cube!$B$2:$B$10000="Breakdown by Outstanding balance")*(Cube!$C$2:$C$10000=$H194)*(Cube!$E$2:$E$10000))/1000000</f>
        <v>0</v>
      </c>
      <c r="D194" s="202" cm="1">
        <f t="array" ref="D194">SUMPRODUCT((Cube!$A$2:$A$10000="MOBILISE")*(Cube!$B$2:$B$10000="Breakdown by Outstanding balance")*(Cube!$C$2:$C$10000=$H194)*(Cube!$D$2:$D$10000))</f>
        <v>0</v>
      </c>
      <c r="F194" s="203">
        <f t="shared" si="1"/>
        <v>0</v>
      </c>
      <c r="G194" s="203">
        <f t="shared" si="1"/>
        <v>0</v>
      </c>
      <c r="H194" s="9" t="s">
        <v>538</v>
      </c>
    </row>
    <row r="195" spans="1:8" x14ac:dyDescent="0.3">
      <c r="A195" s="275" t="s">
        <v>1107</v>
      </c>
      <c r="B195" s="194" t="s">
        <v>1108</v>
      </c>
      <c r="C195" s="202" cm="1">
        <f t="array" ref="C195">SUMPRODUCT((Cube!$A$2:$A$10000="MOBILISE")*(Cube!$B$2:$B$10000="Breakdown by Outstanding balance")*(Cube!$C$2:$C$10000=$H195)*(Cube!$E$2:$E$10000))/1000000</f>
        <v>0</v>
      </c>
      <c r="D195" s="202" cm="1">
        <f t="array" ref="D195">SUMPRODUCT((Cube!$A$2:$A$10000="MOBILISE")*(Cube!$B$2:$B$10000="Breakdown by Outstanding balance")*(Cube!$C$2:$C$10000=$H195)*(Cube!$D$2:$D$10000))</f>
        <v>0</v>
      </c>
      <c r="F195" s="203">
        <f t="shared" si="1"/>
        <v>0</v>
      </c>
      <c r="G195" s="203">
        <f t="shared" si="1"/>
        <v>0</v>
      </c>
      <c r="H195" s="9" t="s">
        <v>541</v>
      </c>
    </row>
    <row r="196" spans="1:8" x14ac:dyDescent="0.3">
      <c r="A196" s="275" t="s">
        <v>1109</v>
      </c>
      <c r="F196" s="197"/>
      <c r="G196" s="197"/>
    </row>
    <row r="197" spans="1:8" x14ac:dyDescent="0.3">
      <c r="A197" s="275" t="s">
        <v>1110</v>
      </c>
      <c r="F197" s="197"/>
      <c r="G197" s="197"/>
    </row>
    <row r="198" spans="1:8" x14ac:dyDescent="0.3">
      <c r="A198" s="275" t="s">
        <v>1111</v>
      </c>
      <c r="F198" s="197"/>
      <c r="G198" s="197"/>
    </row>
    <row r="199" spans="1:8" x14ac:dyDescent="0.3">
      <c r="A199" s="275" t="s">
        <v>1112</v>
      </c>
      <c r="F199" s="197"/>
      <c r="G199" s="197"/>
    </row>
    <row r="200" spans="1:8" x14ac:dyDescent="0.3">
      <c r="A200" s="275" t="s">
        <v>1113</v>
      </c>
      <c r="F200" s="197"/>
      <c r="G200" s="197"/>
    </row>
    <row r="201" spans="1:8" x14ac:dyDescent="0.3">
      <c r="A201" s="275" t="s">
        <v>1114</v>
      </c>
      <c r="F201" s="197"/>
      <c r="G201" s="197"/>
    </row>
    <row r="202" spans="1:8" x14ac:dyDescent="0.3">
      <c r="A202" s="275" t="s">
        <v>1115</v>
      </c>
      <c r="F202" s="197"/>
      <c r="G202" s="197"/>
    </row>
    <row r="203" spans="1:8" x14ac:dyDescent="0.3">
      <c r="A203" s="275" t="s">
        <v>1116</v>
      </c>
      <c r="F203" s="197"/>
      <c r="G203" s="197"/>
    </row>
    <row r="204" spans="1:8" x14ac:dyDescent="0.3">
      <c r="A204" s="275" t="s">
        <v>1117</v>
      </c>
      <c r="F204" s="197"/>
      <c r="G204" s="197"/>
    </row>
    <row r="205" spans="1:8" x14ac:dyDescent="0.3">
      <c r="A205" s="275" t="s">
        <v>1118</v>
      </c>
      <c r="F205" s="197"/>
      <c r="G205" s="197"/>
    </row>
    <row r="206" spans="1:8" x14ac:dyDescent="0.3">
      <c r="A206" s="275" t="s">
        <v>1119</v>
      </c>
      <c r="F206" s="197"/>
      <c r="G206" s="197"/>
    </row>
    <row r="207" spans="1:8" x14ac:dyDescent="0.3">
      <c r="A207" s="275" t="s">
        <v>1120</v>
      </c>
      <c r="F207" s="197"/>
      <c r="G207" s="197"/>
    </row>
    <row r="208" spans="1:8" x14ac:dyDescent="0.3">
      <c r="A208" s="275" t="s">
        <v>1121</v>
      </c>
      <c r="F208" s="197"/>
      <c r="G208" s="197"/>
    </row>
    <row r="209" spans="1:9" x14ac:dyDescent="0.3">
      <c r="A209" s="275" t="s">
        <v>1122</v>
      </c>
      <c r="F209" s="197"/>
      <c r="G209" s="197"/>
    </row>
    <row r="210" spans="1:9" x14ac:dyDescent="0.3">
      <c r="A210" s="275" t="s">
        <v>1123</v>
      </c>
      <c r="F210" s="197"/>
      <c r="G210" s="197"/>
    </row>
    <row r="211" spans="1:9" x14ac:dyDescent="0.3">
      <c r="A211" s="275" t="s">
        <v>1124</v>
      </c>
      <c r="F211" s="197"/>
      <c r="G211" s="197"/>
    </row>
    <row r="212" spans="1:9" x14ac:dyDescent="0.3">
      <c r="A212" s="275" t="s">
        <v>1125</v>
      </c>
      <c r="F212" s="197"/>
      <c r="G212" s="197"/>
    </row>
    <row r="213" spans="1:9" x14ac:dyDescent="0.3">
      <c r="A213" s="275" t="s">
        <v>1126</v>
      </c>
      <c r="F213" s="197"/>
      <c r="G213" s="197"/>
    </row>
    <row r="214" spans="1:9" x14ac:dyDescent="0.3">
      <c r="A214" s="275" t="s">
        <v>1127</v>
      </c>
      <c r="B214" s="297" t="s">
        <v>352</v>
      </c>
      <c r="C214" s="296">
        <f>SUM(C190:C213)</f>
        <v>85276.066473040002</v>
      </c>
      <c r="D214" s="296">
        <f>SUM(D190:D213)</f>
        <v>971224</v>
      </c>
      <c r="F214" s="302">
        <f>SUM(F190:F213)</f>
        <v>0.99999999999999989</v>
      </c>
      <c r="G214" s="302">
        <f>SUM(G190:G213)</f>
        <v>1</v>
      </c>
    </row>
    <row r="215" spans="1:9" x14ac:dyDescent="0.3">
      <c r="A215" s="289"/>
      <c r="B215" s="289" t="s">
        <v>1128</v>
      </c>
      <c r="C215" s="289" t="s">
        <v>1092</v>
      </c>
      <c r="D215" s="289" t="s">
        <v>1093</v>
      </c>
      <c r="E215" s="289"/>
      <c r="F215" s="289" t="s">
        <v>879</v>
      </c>
      <c r="G215" s="289" t="s">
        <v>519</v>
      </c>
    </row>
    <row r="216" spans="1:9" x14ac:dyDescent="0.3">
      <c r="A216" s="275" t="s">
        <v>1129</v>
      </c>
      <c r="B216" s="275" t="s">
        <v>1130</v>
      </c>
      <c r="C216" s="198" cm="1">
        <f t="array" ref="C216">(SUMPRODUCT((Cube!$A$2:$A$9999="MOBILISE")*(Cube!$B$2:$C$9999="ENMTLTV")*(Cube!$H$2:$H$9999)))</f>
        <v>0.67</v>
      </c>
    </row>
    <row r="217" spans="1:9" x14ac:dyDescent="0.3">
      <c r="A217" s="229"/>
      <c r="B217" s="229"/>
    </row>
    <row r="218" spans="1:9" x14ac:dyDescent="0.3">
      <c r="A218" s="229"/>
      <c r="B218" s="290" t="s">
        <v>1131</v>
      </c>
    </row>
    <row r="219" spans="1:9" x14ac:dyDescent="0.3">
      <c r="A219" s="275" t="s">
        <v>1132</v>
      </c>
      <c r="B219" s="275" t="s">
        <v>1133</v>
      </c>
      <c r="C219" s="202" cm="1">
        <f t="array" ref="C219">(SUMPRODUCT((Cube!$A$2:$A$10001="MOBILISE")*(Cube!$B$2:$B$10001="Unindexed LTV Range")*(Cube!$C$2:$C$10001=$H219)*(Cube!$E$2:$E$10001)))/1000000</f>
        <v>9904.0903134799992</v>
      </c>
      <c r="D219" s="202" cm="1">
        <f t="array" ref="D219">(SUMPRODUCT((Cube!$A$2:$A$10001="MOBILISE")*(Cube!$B$2:$B$10001="Unindexed LTV Range")*(Cube!$C$2:$C$10001=$H219)*(Cube!$D$2:$D$10001)))</f>
        <v>265092</v>
      </c>
      <c r="F219" s="294">
        <f t="shared" ref="F219:G226" si="2">IFERROR(C219/C$227,"")</f>
        <v>0.1161415004597002</v>
      </c>
      <c r="G219" s="294">
        <f t="shared" si="2"/>
        <v>0.27294630280965049</v>
      </c>
      <c r="H219" s="9" t="s">
        <v>565</v>
      </c>
      <c r="I219" s="9"/>
    </row>
    <row r="220" spans="1:9" x14ac:dyDescent="0.3">
      <c r="A220" s="275" t="s">
        <v>1134</v>
      </c>
      <c r="B220" s="275" t="s">
        <v>1135</v>
      </c>
      <c r="C220" s="202" cm="1">
        <f t="array" ref="C220">(SUMPRODUCT((Cube!$A$2:$A$10001="MOBILISE")*(Cube!$B$2:$B$10001="Unindexed LTV Range")*(Cube!$C$2:$C$10001=$H220)*(Cube!$E$2:$E$10001)))/1000000</f>
        <v>7096.5024643999996</v>
      </c>
      <c r="D220" s="202" cm="1">
        <f t="array" ref="D220">(SUMPRODUCT((Cube!$A$2:$A$10001="MOBILISE")*(Cube!$B$2:$B$10001="Unindexed LTV Range")*(Cube!$C$2:$C$10001=$H220)*(Cube!$D$2:$D$10001)))</f>
        <v>99634</v>
      </c>
      <c r="F220" s="294">
        <f t="shared" si="2"/>
        <v>8.3217985513480003E-2</v>
      </c>
      <c r="G220" s="294">
        <f t="shared" si="2"/>
        <v>0.10258601517260693</v>
      </c>
      <c r="H220" s="9" t="s">
        <v>568</v>
      </c>
      <c r="I220" s="9"/>
    </row>
    <row r="221" spans="1:9" x14ac:dyDescent="0.3">
      <c r="A221" s="275" t="s">
        <v>1136</v>
      </c>
      <c r="B221" s="275" t="s">
        <v>1137</v>
      </c>
      <c r="C221" s="202" cm="1">
        <f t="array" ref="C221">(SUMPRODUCT((Cube!$A$2:$A$10001="MOBILISE")*(Cube!$B$2:$B$10001="Unindexed LTV Range")*(Cube!$C$2:$C$10001=$H221)*(Cube!$E$2:$E$10001)))/1000000</f>
        <v>9940.2012598799993</v>
      </c>
      <c r="D221" s="202" cm="1">
        <f t="array" ref="D221">(SUMPRODUCT((Cube!$A$2:$A$10001="MOBILISE")*(Cube!$B$2:$B$10001="Unindexed LTV Range")*(Cube!$C$2:$C$10001=$H221)*(Cube!$D$2:$D$10001)))</f>
        <v>119103</v>
      </c>
      <c r="F221" s="294">
        <f t="shared" si="2"/>
        <v>0.11656495979469916</v>
      </c>
      <c r="G221" s="294">
        <f t="shared" si="2"/>
        <v>0.12263185423753943</v>
      </c>
      <c r="H221" s="9" t="s">
        <v>571</v>
      </c>
      <c r="I221" s="9"/>
    </row>
    <row r="222" spans="1:9" x14ac:dyDescent="0.3">
      <c r="A222" s="275" t="s">
        <v>1138</v>
      </c>
      <c r="B222" s="275" t="s">
        <v>1139</v>
      </c>
      <c r="C222" s="202" cm="1">
        <f t="array" ref="C222">(SUMPRODUCT((Cube!$A$2:$A$10001="MOBILISE")*(Cube!$B$2:$B$10001="Unindexed LTV Range")*(Cube!$C$2:$C$10001=$H222)*(Cube!$E$2:$E$10001)))/1000000</f>
        <v>12742.31658486</v>
      </c>
      <c r="D222" s="202" cm="1">
        <f t="array" ref="D222">(SUMPRODUCT((Cube!$A$2:$A$10001="MOBILISE")*(Cube!$B$2:$B$10001="Unindexed LTV Range")*(Cube!$C$2:$C$10001=$H222)*(Cube!$D$2:$D$10001)))</f>
        <v>134286</v>
      </c>
      <c r="F222" s="294">
        <f t="shared" si="2"/>
        <v>0.14942430053206643</v>
      </c>
      <c r="G222" s="294">
        <f t="shared" si="2"/>
        <v>0.13826470515555628</v>
      </c>
      <c r="H222" s="9" t="s">
        <v>574</v>
      </c>
      <c r="I222" s="9"/>
    </row>
    <row r="223" spans="1:9" x14ac:dyDescent="0.3">
      <c r="A223" s="275" t="s">
        <v>1140</v>
      </c>
      <c r="B223" s="275" t="s">
        <v>1141</v>
      </c>
      <c r="C223" s="202" cm="1">
        <f t="array" ref="C223">(SUMPRODUCT((Cube!$A$2:$A$10001="MOBILISE")*(Cube!$B$2:$B$10001="Unindexed LTV Range")*(Cube!$C$2:$C$10001=$H223)*(Cube!$E$2:$E$10001)))/1000000</f>
        <v>17198.394516569999</v>
      </c>
      <c r="D223" s="202" cm="1">
        <f t="array" ref="D223">(SUMPRODUCT((Cube!$A$2:$A$10001="MOBILISE")*(Cube!$B$2:$B$10001="Unindexed LTV Range")*(Cube!$C$2:$C$10001=$H223)*(Cube!$D$2:$D$10001)))</f>
        <v>153268</v>
      </c>
      <c r="F223" s="294">
        <f t="shared" si="2"/>
        <v>0.20167903173638138</v>
      </c>
      <c r="G223" s="294">
        <f t="shared" si="2"/>
        <v>0.15780911509600257</v>
      </c>
      <c r="H223" s="9" t="s">
        <v>577</v>
      </c>
      <c r="I223" s="9"/>
    </row>
    <row r="224" spans="1:9" x14ac:dyDescent="0.3">
      <c r="A224" s="275" t="s">
        <v>1142</v>
      </c>
      <c r="B224" s="275" t="s">
        <v>1143</v>
      </c>
      <c r="C224" s="202" cm="1">
        <f t="array" ref="C224">(SUMPRODUCT((Cube!$A$2:$A$10001="MOBILISE")*(Cube!$B$2:$B$10001="Unindexed LTV Range")*(Cube!$C$2:$C$10001=$H224)*(Cube!$E$2:$E$10001))+SUMPRODUCT((Cube!$A$2:$A$10001="MOBILISE")*(Cube!$B$2:$B$10001="Unindexed LTV Range")*(Cube!$C$2:$C$10001=$I224)*(Cube!$E$2:$E$10001)))/1000000</f>
        <v>19712.80579857</v>
      </c>
      <c r="D224" s="202" cm="1">
        <f t="array" ref="D224">(SUMPRODUCT((Cube!$A$2:$A$10001="MOBILISE")*(Cube!$B$2:$B$10001="Unindexed LTV Range")*(Cube!$C$2:$C$10001=$H224)*(Cube!$D$2:$D$10001))+SUMPRODUCT((Cube!$A$2:$A$10001="MOBILISE")*(Cube!$B$2:$B$10001="Unindexed LTV Range")*(Cube!$C$2:$C$10001=$I224)*(Cube!$D$2:$D$10001)))</f>
        <v>142909</v>
      </c>
      <c r="F224" s="294">
        <f t="shared" si="2"/>
        <v>0.23116457657908271</v>
      </c>
      <c r="G224" s="294">
        <f t="shared" si="2"/>
        <v>0.14714319250759866</v>
      </c>
      <c r="H224" s="9" t="s">
        <v>580</v>
      </c>
      <c r="I224" s="9" t="s">
        <v>581</v>
      </c>
    </row>
    <row r="225" spans="1:9" x14ac:dyDescent="0.3">
      <c r="A225" s="275" t="s">
        <v>1144</v>
      </c>
      <c r="B225" s="275" t="s">
        <v>1145</v>
      </c>
      <c r="C225" s="202" cm="1">
        <f t="array" ref="C225">(SUMPRODUCT((Cube!$A$2:$A$10001="MOBILISE")*(Cube!$B$2:$B$10001="Unindexed LTV Range")*(Cube!$C$2:$C$10001=$H225)*(Cube!$E$2:$E$10001))+SUMPRODUCT((Cube!$A$2:$A$10001="MOBILISE")*(Cube!$B$2:$B$10001="Unindexed LTV Range")*(Cube!$C$2:$C$10001=$I225)*(Cube!$E$2:$E$10001)))/1000000</f>
        <v>8681.7555352800009</v>
      </c>
      <c r="D225" s="202" cm="1">
        <f t="array" ref="D225">(SUMPRODUCT((Cube!$A$2:$A$10001="MOBILISE")*(Cube!$B$2:$B$10001="Unindexed LTV Range")*(Cube!$C$2:$C$10001=$H225)*(Cube!$D$2:$D$10001))+SUMPRODUCT((Cube!$A$2:$A$10001="MOBILISE")*(Cube!$B$2:$B$10001="Unindexed LTV Range")*(Cube!$C$2:$C$10001=$I225)*(Cube!$D$2:$D$10001)))</f>
        <v>56932</v>
      </c>
      <c r="F225" s="294">
        <f t="shared" si="2"/>
        <v>0.10180764538459025</v>
      </c>
      <c r="G225" s="294">
        <f t="shared" si="2"/>
        <v>5.8618815021045607E-2</v>
      </c>
      <c r="H225" s="9" t="s">
        <v>584</v>
      </c>
      <c r="I225" s="9" t="s">
        <v>585</v>
      </c>
    </row>
    <row r="226" spans="1:9" x14ac:dyDescent="0.3">
      <c r="A226" s="275" t="s">
        <v>1146</v>
      </c>
      <c r="B226" s="275" t="s">
        <v>1147</v>
      </c>
      <c r="C226" s="202" cm="1">
        <f t="array" ref="C226">(SUMPRODUCT((Cube!$A$2:$A$10001="MOBILISE")*(Cube!$B$2:$B$10001="Unindexed LTV Range")*(Cube!$C$2:$C$10001=$H226)*(Cube!$E$2:$E$10001))+SUMPRODUCT((Cube!$A$2:$A$10001="MOBILISE")*(Cube!$B$2:$B$10001="Unindexed LTV Range")*(Cube!$C$2:$C$10001=$I226)*(Cube!$E$2:$E$10001)))/1000000</f>
        <v>0</v>
      </c>
      <c r="D226" s="202" cm="1">
        <f t="array" ref="D226">(SUMPRODUCT((Cube!$A$2:$A$10001="MOBILISE")*(Cube!$B$2:$B$10001="Unindexed LTV Range")*(Cube!$C$2:$C$10001=$H226)*(Cube!$D$2:$D$10001))+SUMPRODUCT((Cube!$A$2:$A$10001="MOBILISE")*(Cube!$B$2:$B$10001="Unindexed LTV Range")*(Cube!$C$2:$C$10001=$I226)*(Cube!$D$2:$D$10001)))</f>
        <v>0</v>
      </c>
      <c r="F226" s="294">
        <f t="shared" si="2"/>
        <v>0</v>
      </c>
      <c r="G226" s="294">
        <f t="shared" si="2"/>
        <v>0</v>
      </c>
      <c r="H226" s="9" t="s">
        <v>588</v>
      </c>
      <c r="I226" s="9" t="s">
        <v>589</v>
      </c>
    </row>
    <row r="227" spans="1:9" x14ac:dyDescent="0.3">
      <c r="A227" s="275" t="s">
        <v>1148</v>
      </c>
      <c r="B227" s="295" t="s">
        <v>352</v>
      </c>
      <c r="C227" s="296">
        <f>SUM(C219:C226)</f>
        <v>85276.066473039988</v>
      </c>
      <c r="D227" s="296">
        <f>SUM(D219:D226)</f>
        <v>971224</v>
      </c>
      <c r="F227" s="294">
        <f>SUM(F219:F226)</f>
        <v>1.0000000000000002</v>
      </c>
      <c r="G227" s="294">
        <f>SUM(G219:G226)</f>
        <v>0.99999999999999989</v>
      </c>
      <c r="H227" s="9"/>
      <c r="I227" s="9"/>
    </row>
    <row r="228" spans="1:9" x14ac:dyDescent="0.3">
      <c r="A228" s="275" t="s">
        <v>1149</v>
      </c>
      <c r="B228" s="324" t="s">
        <v>1150</v>
      </c>
      <c r="F228" s="307"/>
      <c r="G228" s="307"/>
    </row>
    <row r="229" spans="1:9" x14ac:dyDescent="0.3">
      <c r="A229" s="275" t="s">
        <v>1151</v>
      </c>
      <c r="B229" s="324" t="s">
        <v>1152</v>
      </c>
      <c r="F229" s="307"/>
      <c r="G229" s="307"/>
    </row>
    <row r="230" spans="1:9" x14ac:dyDescent="0.3">
      <c r="A230" s="275" t="s">
        <v>1153</v>
      </c>
      <c r="B230" s="324" t="s">
        <v>1154</v>
      </c>
      <c r="F230" s="307"/>
      <c r="G230" s="307"/>
    </row>
    <row r="231" spans="1:9" x14ac:dyDescent="0.3">
      <c r="A231" s="275" t="s">
        <v>1155</v>
      </c>
      <c r="B231" s="324" t="s">
        <v>1156</v>
      </c>
      <c r="F231" s="307"/>
      <c r="G231" s="307"/>
    </row>
    <row r="232" spans="1:9" x14ac:dyDescent="0.3">
      <c r="A232" s="275" t="s">
        <v>1157</v>
      </c>
      <c r="B232" s="324" t="s">
        <v>1158</v>
      </c>
      <c r="F232" s="307"/>
      <c r="G232" s="307"/>
    </row>
    <row r="233" spans="1:9" x14ac:dyDescent="0.3">
      <c r="A233" s="275" t="s">
        <v>1159</v>
      </c>
      <c r="B233" s="324" t="s">
        <v>1160</v>
      </c>
      <c r="F233" s="307"/>
      <c r="G233" s="307"/>
    </row>
    <row r="234" spans="1:9" x14ac:dyDescent="0.3">
      <c r="A234" s="275" t="s">
        <v>1161</v>
      </c>
      <c r="B234" s="233"/>
    </row>
    <row r="235" spans="1:9" x14ac:dyDescent="0.3">
      <c r="A235" s="275" t="s">
        <v>1162</v>
      </c>
      <c r="B235" s="233"/>
    </row>
    <row r="236" spans="1:9" x14ac:dyDescent="0.3">
      <c r="A236" s="275" t="s">
        <v>1163</v>
      </c>
      <c r="B236" s="233"/>
    </row>
    <row r="237" spans="1:9" x14ac:dyDescent="0.3">
      <c r="A237" s="289"/>
      <c r="B237" s="289" t="s">
        <v>1164</v>
      </c>
      <c r="C237" s="289" t="s">
        <v>1092</v>
      </c>
      <c r="D237" s="289" t="s">
        <v>1093</v>
      </c>
      <c r="E237" s="289"/>
      <c r="F237" s="289" t="s">
        <v>879</v>
      </c>
      <c r="G237" s="289" t="s">
        <v>519</v>
      </c>
    </row>
    <row r="238" spans="1:9" x14ac:dyDescent="0.3">
      <c r="A238" s="275" t="s">
        <v>1165</v>
      </c>
      <c r="B238" s="275" t="s">
        <v>1130</v>
      </c>
      <c r="C238" s="198" cm="1">
        <f t="array" ref="C238">(SUMPRODUCT((Cube!$A$2:$A$9999="MOBILISE")*(Cube!$B$2:$C$9999="ENLTVIND")*(Cube!$H$2:$H$9999)))</f>
        <v>0.61</v>
      </c>
    </row>
    <row r="239" spans="1:9" x14ac:dyDescent="0.3">
      <c r="A239" s="229"/>
      <c r="B239" s="229"/>
    </row>
    <row r="240" spans="1:9" x14ac:dyDescent="0.3">
      <c r="A240" s="229"/>
      <c r="B240" s="290" t="s">
        <v>1131</v>
      </c>
    </row>
    <row r="241" spans="1:9" x14ac:dyDescent="0.3">
      <c r="A241" s="275" t="s">
        <v>1166</v>
      </c>
      <c r="B241" s="275" t="s">
        <v>1133</v>
      </c>
      <c r="C241" s="202" cm="1">
        <f t="array" ref="C241">(SUMPRODUCT((Cube!$A$2:$A$10001="MOBILISE")*(Cube!$B$2:$B$10001="Indexed LTV Range")*(Cube!$C$2:$C$10001=$H241)*(Cube!$E$2:$E$10001)))/1000000</f>
        <v>15115.90174458</v>
      </c>
      <c r="D241" s="202" cm="1">
        <f t="array" ref="D241">(SUMPRODUCT((Cube!$A$2:$A$10001="MOBILISE")*(Cube!$B$2:$B$10001="indexed LTV Range")*(Cube!$C$2:$C$10001=$H241)*(Cube!$D$2:$D$10001)))</f>
        <v>350114</v>
      </c>
      <c r="F241" s="294">
        <f t="shared" ref="F241:G248" si="3">IFERROR(C241/C$249,"")</f>
        <v>0.17725843099668401</v>
      </c>
      <c r="G241" s="294">
        <f t="shared" si="3"/>
        <v>0.36048738499048621</v>
      </c>
      <c r="H241" s="9" t="s">
        <v>565</v>
      </c>
      <c r="I241" s="9"/>
    </row>
    <row r="242" spans="1:9" x14ac:dyDescent="0.3">
      <c r="A242" s="275" t="s">
        <v>1167</v>
      </c>
      <c r="B242" s="275" t="s">
        <v>1135</v>
      </c>
      <c r="C242" s="202" cm="1">
        <f t="array" ref="C242">(SUMPRODUCT((Cube!$A$2:$A$10001="MOBILISE")*(Cube!$B$2:$B$10001="Indexed LTV Range")*(Cube!$C$2:$C$10001=$H242)*(Cube!$E$2:$E$10001)))/1000000</f>
        <v>10683.268746450001</v>
      </c>
      <c r="D242" s="202" cm="1">
        <f t="array" ref="D242">(SUMPRODUCT((Cube!$A$2:$A$10001="MOBILISE")*(Cube!$B$2:$B$10001="indexed LTV Range")*(Cube!$C$2:$C$10001=$H242)*(Cube!$D$2:$D$10001)))</f>
        <v>135450</v>
      </c>
      <c r="F242" s="294">
        <f t="shared" si="3"/>
        <v>0.1252786296120672</v>
      </c>
      <c r="G242" s="294">
        <f t="shared" si="3"/>
        <v>0.13946319283707981</v>
      </c>
      <c r="H242" s="9" t="s">
        <v>568</v>
      </c>
      <c r="I242" s="9"/>
    </row>
    <row r="243" spans="1:9" x14ac:dyDescent="0.3">
      <c r="A243" s="275" t="s">
        <v>1168</v>
      </c>
      <c r="B243" s="275" t="s">
        <v>1137</v>
      </c>
      <c r="C243" s="202" cm="1">
        <f t="array" ref="C243">(SUMPRODUCT((Cube!$A$2:$A$10001="MOBILISE")*(Cube!$B$2:$B$10001="Indexed LTV Range")*(Cube!$C$2:$C$10001=$H243)*(Cube!$E$2:$E$10001)))/1000000</f>
        <v>12412.5488611</v>
      </c>
      <c r="D243" s="202" cm="1">
        <f t="array" ref="D243">(SUMPRODUCT((Cube!$A$2:$A$10001="MOBILISE")*(Cube!$B$2:$B$10001="indexed LTV Range")*(Cube!$C$2:$C$10001=$H243)*(Cube!$D$2:$D$10001)))</f>
        <v>133357</v>
      </c>
      <c r="F243" s="294">
        <f t="shared" si="3"/>
        <v>0.14555723985022484</v>
      </c>
      <c r="G243" s="294">
        <f t="shared" si="3"/>
        <v>0.1373081801932407</v>
      </c>
      <c r="H243" s="9" t="s">
        <v>571</v>
      </c>
      <c r="I243" s="9"/>
    </row>
    <row r="244" spans="1:9" x14ac:dyDescent="0.3">
      <c r="A244" s="275" t="s">
        <v>1169</v>
      </c>
      <c r="B244" s="275" t="s">
        <v>1139</v>
      </c>
      <c r="C244" s="202" cm="1">
        <f t="array" ref="C244">(SUMPRODUCT((Cube!$A$2:$A$10001="MOBILISE")*(Cube!$B$2:$B$10001="Indexed LTV Range")*(Cube!$C$2:$C$10001=$H244)*(Cube!$E$2:$E$10001)))/1000000</f>
        <v>12818.598556540001</v>
      </c>
      <c r="D244" s="202" cm="1">
        <f t="array" ref="D244">(SUMPRODUCT((Cube!$A$2:$A$10001="MOBILISE")*(Cube!$B$2:$B$10001="indexed LTV Range")*(Cube!$C$2:$C$10001=$H244)*(Cube!$D$2:$D$10001)))</f>
        <v>113528</v>
      </c>
      <c r="F244" s="294">
        <f t="shared" si="3"/>
        <v>0.1503188302029925</v>
      </c>
      <c r="G244" s="294">
        <f t="shared" si="3"/>
        <v>0.1168916748350535</v>
      </c>
      <c r="H244" s="9" t="s">
        <v>574</v>
      </c>
      <c r="I244" s="9"/>
    </row>
    <row r="245" spans="1:9" x14ac:dyDescent="0.3">
      <c r="A245" s="275" t="s">
        <v>1170</v>
      </c>
      <c r="B245" s="275" t="s">
        <v>1141</v>
      </c>
      <c r="C245" s="202" cm="1">
        <f t="array" ref="C245">(SUMPRODUCT((Cube!$A$2:$A$10001="MOBILISE")*(Cube!$B$2:$B$10001="Indexed LTV Range")*(Cube!$C$2:$C$10001=$H245)*(Cube!$E$2:$E$10001)))/1000000</f>
        <v>14571.560880839999</v>
      </c>
      <c r="D245" s="202" cm="1">
        <f t="array" ref="D245">(SUMPRODUCT((Cube!$A$2:$A$10001="MOBILISE")*(Cube!$B$2:$B$10001="indexed LTV Range")*(Cube!$C$2:$C$10001=$H245)*(Cube!$D$2:$D$10001)))</f>
        <v>111232</v>
      </c>
      <c r="F245" s="294">
        <f t="shared" si="3"/>
        <v>0.17087515270708215</v>
      </c>
      <c r="G245" s="294">
        <f t="shared" si="3"/>
        <v>0.11452764758696243</v>
      </c>
      <c r="H245" s="9" t="s">
        <v>577</v>
      </c>
      <c r="I245" s="9"/>
    </row>
    <row r="246" spans="1:9" x14ac:dyDescent="0.3">
      <c r="A246" s="275" t="s">
        <v>1171</v>
      </c>
      <c r="B246" s="275" t="s">
        <v>1143</v>
      </c>
      <c r="C246" s="202" cm="1">
        <f t="array" ref="C246">(SUMPRODUCT((Cube!$A$2:$A$10001="MOBILISE")*(Cube!$B$2:$B$10001="Indexed LTV Range")*(Cube!$C$2:$C$10001=$H246)*(Cube!$E$2:$E$10001))+SUMPRODUCT((Cube!$A$2:$A$10001="MOBILISE")*(Cube!$B$2:$B$10001="Indexed LTV Range")*(Cube!$C$2:$C$10001=$I246)*(Cube!$E$2:$E$10001)))/1000000</f>
        <v>11885.045275209999</v>
      </c>
      <c r="D246" s="202" cm="1">
        <f t="array" ref="D246">(SUMPRODUCT((Cube!$A$2:$A$10001="MOBILISE")*(Cube!$B$2:$B$10001="indexed LTV Range")*(Cube!$C$2:$C$10001=$H246)*(Cube!$D$2:$D$10001))+SUMPRODUCT((Cube!$A$2:$A$10001="MOBILISE")*(Cube!$B$2:$B$10001="indexed LTV Range")*(Cube!$C$2:$C$10001=$I246)*(Cube!$D$2:$D$10001)))</f>
        <v>79722</v>
      </c>
      <c r="F246" s="294">
        <f t="shared" si="3"/>
        <v>0.13937140591454758</v>
      </c>
      <c r="G246" s="294">
        <f t="shared" si="3"/>
        <v>8.2084050641252682E-2</v>
      </c>
      <c r="H246" s="9" t="s">
        <v>580</v>
      </c>
      <c r="I246" s="9" t="s">
        <v>581</v>
      </c>
    </row>
    <row r="247" spans="1:9" x14ac:dyDescent="0.3">
      <c r="A247" s="275" t="s">
        <v>1172</v>
      </c>
      <c r="B247" s="275" t="s">
        <v>1145</v>
      </c>
      <c r="C247" s="202" cm="1">
        <f t="array" ref="C247">(SUMPRODUCT((Cube!$A$2:$A$10001="MOBILISE")*(Cube!$B$2:$B$10001="Indexed LTV Range")*(Cube!$C$2:$C$10001=$H247)*(Cube!$E$2:$E$10001))+SUMPRODUCT((Cube!$A$2:$A$10001="MOBILISE")*(Cube!$B$2:$B$10001="Indexed LTV Range")*(Cube!$C$2:$C$10001=$I247)*(Cube!$E$2:$E$10001)))/1000000</f>
        <v>7206.7167831000006</v>
      </c>
      <c r="D247" s="202" cm="1">
        <f t="array" ref="D247">(SUMPRODUCT((Cube!$A$2:$A$10001="MOBILISE")*(Cube!$B$2:$B$10001="indexed LTV Range")*(Cube!$C$2:$C$10001=$H247)*(Cube!$D$2:$D$10001))+SUMPRODUCT((Cube!$A$2:$A$10001="MOBILISE")*(Cube!$B$2:$B$10001="indexed LTV Range")*(Cube!$C$2:$C$10001=$I247)*(Cube!$D$2:$D$10001)))</f>
        <v>44679</v>
      </c>
      <c r="F247" s="294">
        <f t="shared" si="3"/>
        <v>8.451042691302374E-2</v>
      </c>
      <c r="G247" s="294">
        <f t="shared" si="3"/>
        <v>4.6002775878685044E-2</v>
      </c>
      <c r="H247" s="9" t="s">
        <v>584</v>
      </c>
      <c r="I247" s="9" t="s">
        <v>585</v>
      </c>
    </row>
    <row r="248" spans="1:9" x14ac:dyDescent="0.3">
      <c r="A248" s="275" t="s">
        <v>1173</v>
      </c>
      <c r="B248" s="275" t="s">
        <v>1147</v>
      </c>
      <c r="C248" s="202" cm="1">
        <f t="array" ref="C248">(SUMPRODUCT((Cube!$A$2:$A$10001="MOBILISE")*(Cube!$B$2:$B$10001="Indexed LTV Range")*(Cube!$C$2:$C$10001=$H248)*(Cube!$E$2:$E$10001))+SUMPRODUCT((Cube!$A$2:$A$10001="MOBILISE")*(Cube!$B$2:$B$10001="Indexed LTV Range")*(Cube!$C$2:$C$10001=$I248)*(Cube!$E$2:$E$10001)))/1000000</f>
        <v>582.42562522000003</v>
      </c>
      <c r="D248" s="202" cm="1">
        <f t="array" ref="D248">(SUMPRODUCT((Cube!$A$2:$A$10001="MOBILISE")*(Cube!$B$2:$B$10001="indexed LTV Range")*(Cube!$C$2:$C$10001=$H248)*(Cube!$D$2:$D$10001))+SUMPRODUCT((Cube!$A$2:$A$10001="MOBILISE")*(Cube!$B$2:$B$10001="indexed LTV Range")*(Cube!$C$2:$C$10001=$I248)*(Cube!$D$2:$D$10001)))</f>
        <v>3142</v>
      </c>
      <c r="F248" s="294">
        <f t="shared" si="3"/>
        <v>6.8298838033779815E-3</v>
      </c>
      <c r="G248" s="294">
        <f t="shared" si="3"/>
        <v>3.2350930372396069E-3</v>
      </c>
      <c r="H248" s="9" t="s">
        <v>588</v>
      </c>
      <c r="I248" s="9" t="s">
        <v>589</v>
      </c>
    </row>
    <row r="249" spans="1:9" x14ac:dyDescent="0.3">
      <c r="A249" s="275" t="s">
        <v>1174</v>
      </c>
      <c r="B249" s="295" t="s">
        <v>352</v>
      </c>
      <c r="C249" s="296">
        <f>SUM(C241:C248)</f>
        <v>85276.066473040002</v>
      </c>
      <c r="D249" s="296">
        <f>SUM(D241:D248)</f>
        <v>971224</v>
      </c>
      <c r="F249" s="294">
        <f>SUM(F241:F248)</f>
        <v>1</v>
      </c>
      <c r="G249" s="294">
        <f>SUM(G241:G248)</f>
        <v>0.99999999999999989</v>
      </c>
    </row>
    <row r="250" spans="1:9" x14ac:dyDescent="0.3">
      <c r="A250" s="275" t="s">
        <v>1175</v>
      </c>
      <c r="B250" s="324" t="s">
        <v>1150</v>
      </c>
      <c r="F250" s="307"/>
      <c r="G250" s="307"/>
    </row>
    <row r="251" spans="1:9" x14ac:dyDescent="0.3">
      <c r="A251" s="275" t="s">
        <v>1176</v>
      </c>
      <c r="B251" s="324" t="s">
        <v>1152</v>
      </c>
      <c r="F251" s="307"/>
      <c r="G251" s="307"/>
    </row>
    <row r="252" spans="1:9" x14ac:dyDescent="0.3">
      <c r="A252" s="275" t="s">
        <v>1177</v>
      </c>
      <c r="B252" s="324" t="s">
        <v>1154</v>
      </c>
      <c r="F252" s="307"/>
      <c r="G252" s="307"/>
    </row>
    <row r="253" spans="1:9" x14ac:dyDescent="0.3">
      <c r="A253" s="275" t="s">
        <v>1178</v>
      </c>
      <c r="B253" s="324" t="s">
        <v>1156</v>
      </c>
      <c r="F253" s="307"/>
      <c r="G253" s="307"/>
    </row>
    <row r="254" spans="1:9" x14ac:dyDescent="0.3">
      <c r="A254" s="275" t="s">
        <v>1179</v>
      </c>
      <c r="B254" s="324" t="s">
        <v>1158</v>
      </c>
      <c r="F254" s="307"/>
      <c r="G254" s="307"/>
    </row>
    <row r="255" spans="1:9" x14ac:dyDescent="0.3">
      <c r="A255" s="275" t="s">
        <v>1180</v>
      </c>
      <c r="B255" s="324" t="s">
        <v>1160</v>
      </c>
      <c r="F255" s="307"/>
      <c r="G255" s="307"/>
    </row>
    <row r="256" spans="1:9" x14ac:dyDescent="0.3">
      <c r="A256" s="275" t="s">
        <v>1181</v>
      </c>
      <c r="B256" s="233"/>
    </row>
    <row r="257" spans="1:8" x14ac:dyDescent="0.3">
      <c r="A257" s="275" t="s">
        <v>1182</v>
      </c>
      <c r="B257" s="233"/>
    </row>
    <row r="258" spans="1:8" x14ac:dyDescent="0.3">
      <c r="A258" s="275" t="s">
        <v>1183</v>
      </c>
      <c r="B258" s="233"/>
    </row>
    <row r="259" spans="1:8" x14ac:dyDescent="0.3">
      <c r="A259" s="289"/>
      <c r="B259" s="289" t="s">
        <v>1184</v>
      </c>
      <c r="C259" s="289" t="s">
        <v>879</v>
      </c>
      <c r="D259" s="289"/>
      <c r="E259" s="289"/>
      <c r="F259" s="289"/>
      <c r="G259" s="289"/>
    </row>
    <row r="260" spans="1:8" x14ac:dyDescent="0.3">
      <c r="A260" s="275" t="s">
        <v>1185</v>
      </c>
      <c r="B260" s="275" t="s">
        <v>1186</v>
      </c>
      <c r="C260" s="203" cm="1">
        <f t="array" ref="C260">IFERROR((SUMPRODUCT((Cube!$A$2:$A$10000="MOBILISE")*(Cube!$B$2:$B$10000="Occupancy Type")*(Cube!$C$2:$C$10000=H260)*(Cube!$E$2:$E$10000)))/(SUMPRODUCT((Cube!$A$2:$A$10001="MOBILISE")*(Cube!$B$2:$B$10001="Summary")*(Cube!$C$2:$C$10001="MTKRDC")*(Cube!$E$2:$E$10001))),"")</f>
        <v>0.80651039739026342</v>
      </c>
      <c r="H260" s="182" t="s">
        <v>1187</v>
      </c>
    </row>
    <row r="261" spans="1:8" x14ac:dyDescent="0.3">
      <c r="A261" s="275" t="s">
        <v>1188</v>
      </c>
      <c r="B261" s="275" t="s">
        <v>1189</v>
      </c>
      <c r="C261" s="203" cm="1">
        <f t="array" ref="C261">IFERROR((SUMPRODUCT((Cube!$A$2:$A$10000="MOBILISE")*(Cube!$B$2:$B$10000="Occupancy Type")*(Cube!$C$2:$C$10000=H261)*(Cube!$E$2:$E$10000)))/(SUMPRODUCT((Cube!$A$2:$A$10001="MOBILISE")*(Cube!$B$2:$B$10001="Summary")*(Cube!$C$2:$C$10001="MTKRDC")*(Cube!$E$2:$E$10001))),"")</f>
        <v>2.6837430677498914E-2</v>
      </c>
      <c r="H261" s="182" t="s">
        <v>1190</v>
      </c>
    </row>
    <row r="262" spans="1:8" x14ac:dyDescent="0.3">
      <c r="A262" s="275" t="s">
        <v>1191</v>
      </c>
      <c r="B262" s="275" t="s">
        <v>1192</v>
      </c>
      <c r="C262" s="203" cm="1">
        <f t="array" ref="C262">IFERROR((SUMPRODUCT((Cube!$A$2:$A$10000="MOBILISE")*(Cube!$B$2:$B$10000="Occupancy Type")*(Cube!$C$2:$C$10000=H262)*(Cube!$E$2:$E$10000)))/(SUMPRODUCT((Cube!$A$2:$A$10001="MOBILISE")*(Cube!$B$2:$B$10001="Summary")*(Cube!$C$2:$C$10001="MTKRDC")*(Cube!$E$2:$E$10001))),"")</f>
        <v>0.1666521719322378</v>
      </c>
      <c r="H262" s="182" t="s">
        <v>1193</v>
      </c>
    </row>
    <row r="263" spans="1:8" x14ac:dyDescent="0.3">
      <c r="A263" s="275" t="s">
        <v>1194</v>
      </c>
      <c r="B263" s="275" t="s">
        <v>1195</v>
      </c>
      <c r="C263" s="203">
        <v>0</v>
      </c>
    </row>
    <row r="264" spans="1:8" x14ac:dyDescent="0.3">
      <c r="A264" s="275" t="s">
        <v>1196</v>
      </c>
      <c r="B264" s="290" t="s">
        <v>1197</v>
      </c>
      <c r="C264" s="203">
        <v>0</v>
      </c>
    </row>
    <row r="265" spans="1:8" x14ac:dyDescent="0.3">
      <c r="A265" s="275" t="s">
        <v>1198</v>
      </c>
      <c r="B265" s="275" t="s">
        <v>350</v>
      </c>
      <c r="C265" s="203">
        <v>0</v>
      </c>
    </row>
    <row r="266" spans="1:8" x14ac:dyDescent="0.3">
      <c r="A266" s="275" t="s">
        <v>1199</v>
      </c>
      <c r="B266" s="324" t="s">
        <v>1200</v>
      </c>
    </row>
    <row r="267" spans="1:8" x14ac:dyDescent="0.3">
      <c r="A267" s="275" t="s">
        <v>1201</v>
      </c>
      <c r="B267" s="324" t="s">
        <v>1202</v>
      </c>
    </row>
    <row r="268" spans="1:8" x14ac:dyDescent="0.3">
      <c r="A268" s="275" t="s">
        <v>1203</v>
      </c>
      <c r="B268" s="324" t="s">
        <v>1204</v>
      </c>
    </row>
    <row r="269" spans="1:8" x14ac:dyDescent="0.3">
      <c r="A269" s="275" t="s">
        <v>1205</v>
      </c>
      <c r="B269" s="324" t="s">
        <v>1206</v>
      </c>
    </row>
    <row r="270" spans="1:8" x14ac:dyDescent="0.3">
      <c r="A270" s="275" t="s">
        <v>1207</v>
      </c>
      <c r="B270" s="227" t="s">
        <v>354</v>
      </c>
    </row>
    <row r="271" spans="1:8" x14ac:dyDescent="0.3">
      <c r="A271" s="275" t="s">
        <v>1208</v>
      </c>
      <c r="B271" s="227" t="s">
        <v>354</v>
      </c>
    </row>
    <row r="272" spans="1:8" x14ac:dyDescent="0.3">
      <c r="A272" s="275" t="s">
        <v>1209</v>
      </c>
      <c r="B272" s="227" t="s">
        <v>354</v>
      </c>
    </row>
    <row r="273" spans="1:10" x14ac:dyDescent="0.3">
      <c r="A273" s="275" t="s">
        <v>1210</v>
      </c>
      <c r="B273" s="227" t="s">
        <v>354</v>
      </c>
    </row>
    <row r="274" spans="1:10" x14ac:dyDescent="0.3">
      <c r="A274" s="275" t="s">
        <v>1211</v>
      </c>
      <c r="B274" s="227" t="s">
        <v>354</v>
      </c>
    </row>
    <row r="275" spans="1:10" x14ac:dyDescent="0.3">
      <c r="A275" s="275" t="s">
        <v>1212</v>
      </c>
      <c r="B275" s="227" t="s">
        <v>354</v>
      </c>
    </row>
    <row r="276" spans="1:10" x14ac:dyDescent="0.3">
      <c r="A276" s="289"/>
      <c r="B276" s="289" t="s">
        <v>1213</v>
      </c>
      <c r="C276" s="289" t="s">
        <v>879</v>
      </c>
      <c r="D276" s="289"/>
      <c r="E276" s="289"/>
      <c r="F276" s="289"/>
      <c r="G276" s="289"/>
    </row>
    <row r="277" spans="1:10" x14ac:dyDescent="0.3">
      <c r="A277" s="275" t="s">
        <v>1214</v>
      </c>
      <c r="B277" s="275" t="s">
        <v>1215</v>
      </c>
      <c r="C277" s="203" cm="1">
        <f t="array" ref="C277">IFERROR((SUMPRODUCT((Cube!$A$2:$A$10000="MOBILISE")*(Cube!$B$2:$B$10000="Guaranty type")*(Cube!$C$2:$C$10000=H277)*(Cube!$E$2:$E$10000))+SUMPRODUCT((Cube!$A$2:$A$10000="MOBILISE")*(Cube!$B$2:$B$10000="Guaranty type")*(Cube!$C$2:$C$10000=I277)*(Cube!$E$2:$E$10000))+SUMPRODUCT((Cube!$A$2:$A$10000="MOBILISE")*(Cube!$B$2:$B$10000="Guaranty type")*(Cube!$C$2:$C$10000=J277)*(Cube!$E$2:$E$10000))) / SUMPRODUCT((Cube!$A$2:$A$10000="MOBILISE")*(Cube!$B$2:$B$10000="Summary")*(Cube!$C$2:$C$10000="MTKRDC")*(Cube!$E$2:$E$10000)),"")</f>
        <v>0.1926235370917716</v>
      </c>
      <c r="D277" s="9" t="s">
        <v>627</v>
      </c>
      <c r="E277" s="9" t="s">
        <v>628</v>
      </c>
      <c r="F277" s="9" t="s">
        <v>629</v>
      </c>
      <c r="H277" s="9" t="s">
        <v>628</v>
      </c>
      <c r="I277" s="9" t="s">
        <v>629</v>
      </c>
      <c r="J277" s="9" t="s">
        <v>627</v>
      </c>
    </row>
    <row r="278" spans="1:10" x14ac:dyDescent="0.3">
      <c r="A278" s="275" t="s">
        <v>1216</v>
      </c>
      <c r="B278" s="275" t="s">
        <v>1217</v>
      </c>
      <c r="C278" s="203" cm="1">
        <f t="array" ref="C278">IFERROR((SUMPRODUCT((Cube!$A$2:$A$10000="MOBILISE")*(Cube!$B$2:$B$10000="Guaranty type")*(Cube!$C$2:$C$10000=H278)*(Cube!$E$2:$E$10000))+SUMPRODUCT((Cube!$A$2:$A$10000="MOBILISE")*(Cube!$B$2:$B$10000="Guaranty type")*(Cube!$C$2:$C$10000=I278)*(Cube!$E$2:$E$10000))+SUMPRODUCT((Cube!$A$2:$A$10000="MOBILISE")*(Cube!$B$2:$B$10000="Guaranty type")*(Cube!$C$2:$C$10000=J278)*(Cube!$E$2:$E$10000))) / SUMPRODUCT((Cube!$A$2:$A$10000="MOBILISE")*(Cube!$B$2:$B$10000="Summary")*(Cube!$C$2:$C$10000="MTKRDC")*(Cube!$E$2:$E$10000)),"")</f>
        <v>0.8073764629082284</v>
      </c>
      <c r="D278" s="9" t="s">
        <v>634</v>
      </c>
      <c r="E278" s="9" t="s">
        <v>635</v>
      </c>
      <c r="F278" s="9" t="s">
        <v>636</v>
      </c>
      <c r="H278" s="9" t="s">
        <v>636</v>
      </c>
      <c r="I278" s="9" t="s">
        <v>634</v>
      </c>
      <c r="J278" s="9" t="s">
        <v>635</v>
      </c>
    </row>
    <row r="279" spans="1:10" x14ac:dyDescent="0.3">
      <c r="A279" s="275" t="s">
        <v>1218</v>
      </c>
      <c r="B279" s="275" t="s">
        <v>350</v>
      </c>
      <c r="C279" s="203">
        <v>0</v>
      </c>
    </row>
    <row r="280" spans="1:10" x14ac:dyDescent="0.3">
      <c r="A280" s="275" t="s">
        <v>1219</v>
      </c>
      <c r="B280" s="230"/>
    </row>
    <row r="281" spans="1:10" x14ac:dyDescent="0.3">
      <c r="A281" s="275" t="s">
        <v>1220</v>
      </c>
      <c r="B281" s="230"/>
    </row>
    <row r="282" spans="1:10" x14ac:dyDescent="0.3">
      <c r="A282" s="275" t="s">
        <v>1221</v>
      </c>
      <c r="B282" s="230"/>
    </row>
    <row r="283" spans="1:10" x14ac:dyDescent="0.3">
      <c r="A283" s="275" t="s">
        <v>1222</v>
      </c>
      <c r="B283" s="230"/>
    </row>
    <row r="284" spans="1:10" x14ac:dyDescent="0.3">
      <c r="A284" s="275" t="s">
        <v>1223</v>
      </c>
      <c r="B284" s="230"/>
    </row>
    <row r="285" spans="1:10" x14ac:dyDescent="0.3">
      <c r="A285" s="275" t="s">
        <v>1224</v>
      </c>
      <c r="B285" s="230"/>
    </row>
    <row r="286" spans="1:10" x14ac:dyDescent="0.3">
      <c r="A286" s="289"/>
      <c r="B286" s="336" t="s">
        <v>1225</v>
      </c>
      <c r="C286" s="289" t="s">
        <v>310</v>
      </c>
      <c r="D286" s="289" t="s">
        <v>1226</v>
      </c>
      <c r="E286" s="289"/>
      <c r="F286" s="289" t="s">
        <v>879</v>
      </c>
      <c r="G286" s="289" t="s">
        <v>1227</v>
      </c>
    </row>
    <row r="287" spans="1:10" x14ac:dyDescent="0.3">
      <c r="A287" s="275" t="s">
        <v>1228</v>
      </c>
      <c r="B287" s="232" t="s">
        <v>1229</v>
      </c>
    </row>
    <row r="288" spans="1:10" x14ac:dyDescent="0.3">
      <c r="A288" s="275" t="s">
        <v>1230</v>
      </c>
      <c r="B288" s="232" t="s">
        <v>1229</v>
      </c>
    </row>
    <row r="289" spans="1:2" x14ac:dyDescent="0.3">
      <c r="A289" s="275" t="s">
        <v>1231</v>
      </c>
      <c r="B289" s="232" t="s">
        <v>1229</v>
      </c>
    </row>
    <row r="290" spans="1:2" x14ac:dyDescent="0.3">
      <c r="A290" s="275" t="s">
        <v>1232</v>
      </c>
      <c r="B290" s="232" t="s">
        <v>1229</v>
      </c>
    </row>
    <row r="291" spans="1:2" x14ac:dyDescent="0.3">
      <c r="A291" s="275" t="s">
        <v>1233</v>
      </c>
      <c r="B291" s="232" t="s">
        <v>1229</v>
      </c>
    </row>
    <row r="292" spans="1:2" x14ac:dyDescent="0.3">
      <c r="A292" s="275" t="s">
        <v>1234</v>
      </c>
      <c r="B292" s="232" t="s">
        <v>1229</v>
      </c>
    </row>
    <row r="293" spans="1:2" x14ac:dyDescent="0.3">
      <c r="A293" s="275" t="s">
        <v>1235</v>
      </c>
      <c r="B293" s="232" t="s">
        <v>1229</v>
      </c>
    </row>
    <row r="294" spans="1:2" x14ac:dyDescent="0.3">
      <c r="A294" s="275" t="s">
        <v>1236</v>
      </c>
      <c r="B294" s="232" t="s">
        <v>1229</v>
      </c>
    </row>
    <row r="295" spans="1:2" x14ac:dyDescent="0.3">
      <c r="A295" s="275" t="s">
        <v>1237</v>
      </c>
      <c r="B295" s="232" t="s">
        <v>1229</v>
      </c>
    </row>
    <row r="296" spans="1:2" x14ac:dyDescent="0.3">
      <c r="A296" s="275" t="s">
        <v>1238</v>
      </c>
      <c r="B296" s="232" t="s">
        <v>1229</v>
      </c>
    </row>
    <row r="297" spans="1:2" x14ac:dyDescent="0.3">
      <c r="A297" s="275" t="s">
        <v>1239</v>
      </c>
      <c r="B297" s="232" t="s">
        <v>1229</v>
      </c>
    </row>
    <row r="298" spans="1:2" x14ac:dyDescent="0.3">
      <c r="A298" s="275" t="s">
        <v>1240</v>
      </c>
      <c r="B298" s="232" t="s">
        <v>1229</v>
      </c>
    </row>
    <row r="299" spans="1:2" x14ac:dyDescent="0.3">
      <c r="A299" s="275" t="s">
        <v>1241</v>
      </c>
      <c r="B299" s="232" t="s">
        <v>1229</v>
      </c>
    </row>
    <row r="300" spans="1:2" x14ac:dyDescent="0.3">
      <c r="A300" s="275" t="s">
        <v>1242</v>
      </c>
      <c r="B300" s="232" t="s">
        <v>1229</v>
      </c>
    </row>
    <row r="301" spans="1:2" x14ac:dyDescent="0.3">
      <c r="A301" s="275" t="s">
        <v>1243</v>
      </c>
      <c r="B301" s="232" t="s">
        <v>1229</v>
      </c>
    </row>
    <row r="302" spans="1:2" x14ac:dyDescent="0.3">
      <c r="A302" s="275" t="s">
        <v>1244</v>
      </c>
      <c r="B302" s="232" t="s">
        <v>1229</v>
      </c>
    </row>
    <row r="303" spans="1:2" x14ac:dyDescent="0.3">
      <c r="A303" s="275" t="s">
        <v>1245</v>
      </c>
      <c r="B303" s="232" t="s">
        <v>1229</v>
      </c>
    </row>
    <row r="304" spans="1:2" x14ac:dyDescent="0.3">
      <c r="A304" s="275" t="s">
        <v>1246</v>
      </c>
      <c r="B304" s="290" t="s">
        <v>1247</v>
      </c>
    </row>
    <row r="305" spans="1:7" x14ac:dyDescent="0.3">
      <c r="A305" s="275" t="s">
        <v>1248</v>
      </c>
      <c r="B305" s="290" t="s">
        <v>352</v>
      </c>
      <c r="C305" s="297">
        <v>0</v>
      </c>
      <c r="D305" s="297">
        <v>0</v>
      </c>
      <c r="F305" s="302">
        <v>0</v>
      </c>
      <c r="G305" s="302">
        <v>0</v>
      </c>
    </row>
    <row r="306" spans="1:7" x14ac:dyDescent="0.3">
      <c r="A306" s="275" t="s">
        <v>1249</v>
      </c>
      <c r="B306" s="234"/>
    </row>
    <row r="307" spans="1:7" x14ac:dyDescent="0.3">
      <c r="A307" s="275" t="s">
        <v>1250</v>
      </c>
      <c r="B307" s="234"/>
    </row>
    <row r="308" spans="1:7" x14ac:dyDescent="0.3">
      <c r="A308" s="275" t="s">
        <v>1251</v>
      </c>
      <c r="B308" s="234"/>
    </row>
    <row r="309" spans="1:7" x14ac:dyDescent="0.3">
      <c r="A309" s="336"/>
      <c r="B309" s="336" t="s">
        <v>1252</v>
      </c>
      <c r="C309" s="289" t="s">
        <v>310</v>
      </c>
      <c r="D309" s="289" t="s">
        <v>1226</v>
      </c>
      <c r="E309" s="289"/>
      <c r="F309" s="289" t="s">
        <v>879</v>
      </c>
      <c r="G309" s="289" t="s">
        <v>1227</v>
      </c>
    </row>
    <row r="310" spans="1:7" x14ac:dyDescent="0.3">
      <c r="A310" s="275" t="s">
        <v>1253</v>
      </c>
      <c r="B310" s="232" t="s">
        <v>1229</v>
      </c>
    </row>
    <row r="311" spans="1:7" x14ac:dyDescent="0.3">
      <c r="A311" s="275" t="s">
        <v>1254</v>
      </c>
      <c r="B311" s="232" t="s">
        <v>1229</v>
      </c>
    </row>
    <row r="312" spans="1:7" x14ac:dyDescent="0.3">
      <c r="A312" s="275" t="s">
        <v>1255</v>
      </c>
      <c r="B312" s="232" t="s">
        <v>1229</v>
      </c>
    </row>
    <row r="313" spans="1:7" x14ac:dyDescent="0.3">
      <c r="A313" s="275" t="s">
        <v>1256</v>
      </c>
      <c r="B313" s="232" t="s">
        <v>1229</v>
      </c>
    </row>
    <row r="314" spans="1:7" x14ac:dyDescent="0.3">
      <c r="A314" s="275" t="s">
        <v>1257</v>
      </c>
      <c r="B314" s="232" t="s">
        <v>1229</v>
      </c>
    </row>
    <row r="315" spans="1:7" x14ac:dyDescent="0.3">
      <c r="A315" s="275" t="s">
        <v>1258</v>
      </c>
      <c r="B315" s="232" t="s">
        <v>1229</v>
      </c>
    </row>
    <row r="316" spans="1:7" x14ac:dyDescent="0.3">
      <c r="A316" s="275" t="s">
        <v>1259</v>
      </c>
      <c r="B316" s="232" t="s">
        <v>1229</v>
      </c>
    </row>
    <row r="317" spans="1:7" x14ac:dyDescent="0.3">
      <c r="A317" s="275" t="s">
        <v>1260</v>
      </c>
      <c r="B317" s="232" t="s">
        <v>1229</v>
      </c>
    </row>
    <row r="318" spans="1:7" x14ac:dyDescent="0.3">
      <c r="A318" s="275" t="s">
        <v>1261</v>
      </c>
      <c r="B318" s="232" t="s">
        <v>1229</v>
      </c>
    </row>
    <row r="319" spans="1:7" x14ac:dyDescent="0.3">
      <c r="A319" s="275" t="s">
        <v>1262</v>
      </c>
      <c r="B319" s="232" t="s">
        <v>1229</v>
      </c>
    </row>
    <row r="320" spans="1:7" x14ac:dyDescent="0.3">
      <c r="A320" s="275" t="s">
        <v>1263</v>
      </c>
      <c r="B320" s="232" t="s">
        <v>1229</v>
      </c>
    </row>
    <row r="321" spans="1:7" x14ac:dyDescent="0.3">
      <c r="A321" s="275" t="s">
        <v>1264</v>
      </c>
      <c r="B321" s="232" t="s">
        <v>1229</v>
      </c>
    </row>
    <row r="322" spans="1:7" x14ac:dyDescent="0.3">
      <c r="A322" s="275" t="s">
        <v>1265</v>
      </c>
      <c r="B322" s="232" t="s">
        <v>1229</v>
      </c>
    </row>
    <row r="323" spans="1:7" x14ac:dyDescent="0.3">
      <c r="A323" s="275" t="s">
        <v>1266</v>
      </c>
      <c r="B323" s="232" t="s">
        <v>1229</v>
      </c>
    </row>
    <row r="324" spans="1:7" x14ac:dyDescent="0.3">
      <c r="A324" s="275" t="s">
        <v>1267</v>
      </c>
      <c r="B324" s="232" t="s">
        <v>1229</v>
      </c>
    </row>
    <row r="325" spans="1:7" x14ac:dyDescent="0.3">
      <c r="A325" s="275" t="s">
        <v>1268</v>
      </c>
      <c r="B325" s="232" t="s">
        <v>1229</v>
      </c>
    </row>
    <row r="326" spans="1:7" x14ac:dyDescent="0.3">
      <c r="A326" s="275" t="s">
        <v>1269</v>
      </c>
      <c r="B326" s="232" t="s">
        <v>1229</v>
      </c>
    </row>
    <row r="327" spans="1:7" x14ac:dyDescent="0.3">
      <c r="A327" s="275" t="s">
        <v>1270</v>
      </c>
      <c r="B327" s="290" t="s">
        <v>1247</v>
      </c>
    </row>
    <row r="328" spans="1:7" x14ac:dyDescent="0.3">
      <c r="A328" s="275" t="s">
        <v>1271</v>
      </c>
      <c r="B328" s="290" t="s">
        <v>352</v>
      </c>
      <c r="C328" s="297">
        <v>0</v>
      </c>
      <c r="D328" s="297">
        <v>0</v>
      </c>
      <c r="F328" s="302">
        <v>0</v>
      </c>
      <c r="G328" s="302">
        <v>0</v>
      </c>
    </row>
    <row r="329" spans="1:7" x14ac:dyDescent="0.3">
      <c r="A329" s="275" t="s">
        <v>1272</v>
      </c>
      <c r="B329" s="234"/>
    </row>
    <row r="330" spans="1:7" x14ac:dyDescent="0.3">
      <c r="A330" s="275" t="s">
        <v>1273</v>
      </c>
      <c r="B330" s="234"/>
    </row>
    <row r="331" spans="1:7" x14ac:dyDescent="0.3">
      <c r="A331" s="275" t="s">
        <v>1274</v>
      </c>
      <c r="B331" s="234"/>
    </row>
    <row r="332" spans="1:7" x14ac:dyDescent="0.3">
      <c r="A332" s="289"/>
      <c r="B332" s="289" t="s">
        <v>1275</v>
      </c>
      <c r="C332" s="289" t="s">
        <v>310</v>
      </c>
      <c r="D332" s="289" t="s">
        <v>1226</v>
      </c>
      <c r="E332" s="289"/>
      <c r="F332" s="289" t="s">
        <v>879</v>
      </c>
      <c r="G332" s="289" t="s">
        <v>1276</v>
      </c>
    </row>
    <row r="333" spans="1:7" x14ac:dyDescent="0.3">
      <c r="A333" s="275" t="s">
        <v>1277</v>
      </c>
      <c r="B333" s="290" t="s">
        <v>1278</v>
      </c>
    </row>
    <row r="334" spans="1:7" x14ac:dyDescent="0.3">
      <c r="A334" s="275" t="s">
        <v>1279</v>
      </c>
      <c r="B334" s="290" t="s">
        <v>1280</v>
      </c>
    </row>
    <row r="335" spans="1:7" x14ac:dyDescent="0.3">
      <c r="A335" s="275" t="s">
        <v>1281</v>
      </c>
      <c r="B335" s="290" t="s">
        <v>1282</v>
      </c>
    </row>
    <row r="336" spans="1:7" x14ac:dyDescent="0.3">
      <c r="A336" s="275" t="s">
        <v>1283</v>
      </c>
      <c r="B336" s="290" t="s">
        <v>1284</v>
      </c>
    </row>
    <row r="337" spans="1:7" x14ac:dyDescent="0.3">
      <c r="A337" s="275" t="s">
        <v>1285</v>
      </c>
      <c r="B337" s="290" t="s">
        <v>1286</v>
      </c>
    </row>
    <row r="338" spans="1:7" x14ac:dyDescent="0.3">
      <c r="A338" s="275" t="s">
        <v>1287</v>
      </c>
      <c r="B338" s="290" t="s">
        <v>1288</v>
      </c>
    </row>
    <row r="339" spans="1:7" x14ac:dyDescent="0.3">
      <c r="A339" s="275" t="s">
        <v>1289</v>
      </c>
      <c r="B339" s="290" t="s">
        <v>1290</v>
      </c>
    </row>
    <row r="340" spans="1:7" x14ac:dyDescent="0.3">
      <c r="A340" s="275" t="s">
        <v>1291</v>
      </c>
      <c r="B340" s="290" t="s">
        <v>1292</v>
      </c>
    </row>
    <row r="341" spans="1:7" x14ac:dyDescent="0.3">
      <c r="A341" s="275" t="s">
        <v>1293</v>
      </c>
      <c r="B341" s="290" t="s">
        <v>1294</v>
      </c>
    </row>
    <row r="342" spans="1:7" x14ac:dyDescent="0.3">
      <c r="A342" s="275" t="s">
        <v>1295</v>
      </c>
      <c r="B342" s="275" t="s">
        <v>1296</v>
      </c>
    </row>
    <row r="343" spans="1:7" x14ac:dyDescent="0.3">
      <c r="A343" s="275" t="s">
        <v>1297</v>
      </c>
      <c r="B343" s="275" t="s">
        <v>1298</v>
      </c>
    </row>
    <row r="344" spans="1:7" x14ac:dyDescent="0.3">
      <c r="A344" s="275" t="s">
        <v>1299</v>
      </c>
      <c r="B344" s="290" t="s">
        <v>1300</v>
      </c>
    </row>
    <row r="345" spans="1:7" x14ac:dyDescent="0.3">
      <c r="A345" s="275" t="s">
        <v>1301</v>
      </c>
      <c r="B345" s="275" t="s">
        <v>1247</v>
      </c>
    </row>
    <row r="346" spans="1:7" x14ac:dyDescent="0.3">
      <c r="A346" s="275" t="s">
        <v>1302</v>
      </c>
      <c r="B346" s="290" t="s">
        <v>352</v>
      </c>
      <c r="C346" s="297">
        <v>0</v>
      </c>
      <c r="D346" s="297">
        <v>0</v>
      </c>
      <c r="F346" s="302">
        <v>0</v>
      </c>
      <c r="G346" s="302">
        <v>0</v>
      </c>
    </row>
    <row r="347" spans="1:7" x14ac:dyDescent="0.3">
      <c r="A347" s="275" t="s">
        <v>1303</v>
      </c>
      <c r="B347" s="234"/>
    </row>
    <row r="348" spans="1:7" x14ac:dyDescent="0.3">
      <c r="A348" s="275" t="s">
        <v>1304</v>
      </c>
      <c r="B348" s="234"/>
    </row>
    <row r="349" spans="1:7" x14ac:dyDescent="0.3">
      <c r="A349" s="275" t="s">
        <v>1305</v>
      </c>
    </row>
    <row r="350" spans="1:7" x14ac:dyDescent="0.3">
      <c r="A350" s="275" t="s">
        <v>1306</v>
      </c>
    </row>
    <row r="351" spans="1:7" x14ac:dyDescent="0.3">
      <c r="A351" s="275" t="s">
        <v>1307</v>
      </c>
      <c r="B351" s="234"/>
    </row>
    <row r="352" spans="1:7" x14ac:dyDescent="0.3">
      <c r="A352" s="275" t="s">
        <v>1308</v>
      </c>
      <c r="B352" s="234"/>
    </row>
    <row r="353" spans="1:7" x14ac:dyDescent="0.3">
      <c r="A353" s="275" t="s">
        <v>1309</v>
      </c>
      <c r="B353" s="234"/>
    </row>
    <row r="354" spans="1:7" x14ac:dyDescent="0.3">
      <c r="A354" s="275" t="s">
        <v>1310</v>
      </c>
      <c r="B354" s="234"/>
    </row>
    <row r="355" spans="1:7" x14ac:dyDescent="0.3">
      <c r="A355" s="275" t="s">
        <v>1311</v>
      </c>
      <c r="B355" s="234"/>
    </row>
    <row r="356" spans="1:7" x14ac:dyDescent="0.3">
      <c r="A356" s="275" t="s">
        <v>1312</v>
      </c>
      <c r="B356" s="234"/>
    </row>
    <row r="357" spans="1:7" x14ac:dyDescent="0.3">
      <c r="A357" s="289"/>
      <c r="B357" s="289" t="s">
        <v>1313</v>
      </c>
      <c r="C357" s="289" t="s">
        <v>310</v>
      </c>
      <c r="D357" s="289" t="s">
        <v>1226</v>
      </c>
      <c r="E357" s="289"/>
      <c r="F357" s="289" t="s">
        <v>879</v>
      </c>
      <c r="G357" s="289" t="s">
        <v>1276</v>
      </c>
    </row>
    <row r="358" spans="1:7" x14ac:dyDescent="0.3">
      <c r="A358" s="275" t="s">
        <v>1314</v>
      </c>
      <c r="B358" s="290" t="s">
        <v>1315</v>
      </c>
    </row>
    <row r="359" spans="1:7" x14ac:dyDescent="0.3">
      <c r="A359" s="275" t="s">
        <v>1316</v>
      </c>
      <c r="B359" s="337" t="s">
        <v>1317</v>
      </c>
    </row>
    <row r="360" spans="1:7" x14ac:dyDescent="0.3">
      <c r="A360" s="275" t="s">
        <v>1318</v>
      </c>
      <c r="B360" s="290" t="s">
        <v>1319</v>
      </c>
    </row>
    <row r="361" spans="1:7" x14ac:dyDescent="0.3">
      <c r="A361" s="275" t="s">
        <v>1320</v>
      </c>
      <c r="B361" s="290" t="s">
        <v>1321</v>
      </c>
    </row>
    <row r="362" spans="1:7" x14ac:dyDescent="0.3">
      <c r="A362" s="275" t="s">
        <v>1322</v>
      </c>
      <c r="B362" s="290" t="s">
        <v>1323</v>
      </c>
    </row>
    <row r="363" spans="1:7" x14ac:dyDescent="0.3">
      <c r="A363" s="275" t="s">
        <v>1324</v>
      </c>
      <c r="B363" s="290" t="s">
        <v>1325</v>
      </c>
    </row>
    <row r="364" spans="1:7" x14ac:dyDescent="0.3">
      <c r="A364" s="275" t="s">
        <v>1326</v>
      </c>
      <c r="B364" s="290" t="s">
        <v>1007</v>
      </c>
    </row>
    <row r="365" spans="1:7" x14ac:dyDescent="0.3">
      <c r="A365" s="275" t="s">
        <v>1327</v>
      </c>
      <c r="B365" s="290" t="s">
        <v>352</v>
      </c>
      <c r="C365" s="297">
        <v>0</v>
      </c>
      <c r="D365" s="297">
        <v>0</v>
      </c>
      <c r="F365" s="302">
        <v>0</v>
      </c>
      <c r="G365" s="302">
        <v>0</v>
      </c>
    </row>
    <row r="366" spans="1:7" x14ac:dyDescent="0.3">
      <c r="A366" s="275" t="s">
        <v>1328</v>
      </c>
      <c r="B366" s="234"/>
    </row>
    <row r="367" spans="1:7" x14ac:dyDescent="0.3">
      <c r="A367" s="289"/>
      <c r="B367" s="289" t="s">
        <v>1329</v>
      </c>
      <c r="C367" s="289" t="s">
        <v>310</v>
      </c>
      <c r="D367" s="289" t="s">
        <v>1226</v>
      </c>
      <c r="E367" s="289"/>
      <c r="F367" s="289" t="s">
        <v>879</v>
      </c>
      <c r="G367" s="289" t="s">
        <v>1276</v>
      </c>
    </row>
    <row r="368" spans="1:7" x14ac:dyDescent="0.3">
      <c r="A368" s="275" t="s">
        <v>1330</v>
      </c>
      <c r="B368" s="290" t="s">
        <v>1331</v>
      </c>
    </row>
    <row r="369" spans="1:7" x14ac:dyDescent="0.3">
      <c r="A369" s="275" t="s">
        <v>1332</v>
      </c>
      <c r="B369" s="337" t="s">
        <v>1333</v>
      </c>
    </row>
    <row r="370" spans="1:7" x14ac:dyDescent="0.3">
      <c r="A370" s="275" t="s">
        <v>1334</v>
      </c>
      <c r="B370" s="290" t="s">
        <v>1007</v>
      </c>
    </row>
    <row r="371" spans="1:7" x14ac:dyDescent="0.3">
      <c r="A371" s="275" t="s">
        <v>1335</v>
      </c>
      <c r="B371" s="275" t="s">
        <v>1247</v>
      </c>
    </row>
    <row r="372" spans="1:7" x14ac:dyDescent="0.3">
      <c r="A372" s="275" t="s">
        <v>1336</v>
      </c>
      <c r="B372" s="290" t="s">
        <v>352</v>
      </c>
      <c r="C372" s="297">
        <v>0</v>
      </c>
      <c r="D372" s="297">
        <v>0</v>
      </c>
      <c r="F372" s="302">
        <v>0</v>
      </c>
      <c r="G372" s="302">
        <v>0</v>
      </c>
    </row>
    <row r="373" spans="1:7" x14ac:dyDescent="0.3">
      <c r="A373" s="275" t="s">
        <v>1337</v>
      </c>
      <c r="B373" s="234"/>
    </row>
    <row r="374" spans="1:7" x14ac:dyDescent="0.3">
      <c r="A374" s="289"/>
      <c r="B374" s="289" t="s">
        <v>1338</v>
      </c>
      <c r="C374" s="289" t="s">
        <v>1339</v>
      </c>
      <c r="D374" s="289" t="s">
        <v>1340</v>
      </c>
      <c r="E374" s="289"/>
      <c r="F374" s="289" t="s">
        <v>1341</v>
      </c>
      <c r="G374" s="289" t="s">
        <v>1342</v>
      </c>
    </row>
    <row r="375" spans="1:7" x14ac:dyDescent="0.3">
      <c r="A375" s="275" t="s">
        <v>1343</v>
      </c>
      <c r="B375" s="290" t="s">
        <v>1315</v>
      </c>
      <c r="C375" s="194" t="s">
        <v>1344</v>
      </c>
      <c r="D375" s="194" t="s">
        <v>1344</v>
      </c>
    </row>
    <row r="376" spans="1:7" x14ac:dyDescent="0.3">
      <c r="A376" s="275" t="s">
        <v>1345</v>
      </c>
      <c r="B376" s="290" t="s">
        <v>1317</v>
      </c>
      <c r="C376" s="194" t="s">
        <v>1344</v>
      </c>
      <c r="D376" s="194" t="s">
        <v>1344</v>
      </c>
    </row>
    <row r="377" spans="1:7" x14ac:dyDescent="0.3">
      <c r="A377" s="275" t="s">
        <v>1346</v>
      </c>
      <c r="B377" s="290" t="s">
        <v>1319</v>
      </c>
      <c r="C377" s="194" t="s">
        <v>1344</v>
      </c>
      <c r="D377" s="194" t="s">
        <v>1344</v>
      </c>
    </row>
    <row r="378" spans="1:7" x14ac:dyDescent="0.3">
      <c r="A378" s="275" t="s">
        <v>1347</v>
      </c>
      <c r="B378" s="290" t="s">
        <v>1321</v>
      </c>
      <c r="C378" s="194" t="s">
        <v>1344</v>
      </c>
      <c r="D378" s="194" t="s">
        <v>1344</v>
      </c>
    </row>
    <row r="379" spans="1:7" x14ac:dyDescent="0.3">
      <c r="A379" s="275" t="s">
        <v>1348</v>
      </c>
      <c r="B379" s="290" t="s">
        <v>1323</v>
      </c>
      <c r="C379" s="194" t="s">
        <v>1344</v>
      </c>
      <c r="D379" s="194" t="s">
        <v>1344</v>
      </c>
    </row>
    <row r="380" spans="1:7" x14ac:dyDescent="0.3">
      <c r="A380" s="275" t="s">
        <v>1349</v>
      </c>
      <c r="B380" s="290" t="s">
        <v>1325</v>
      </c>
      <c r="C380" s="194" t="s">
        <v>1344</v>
      </c>
      <c r="D380" s="194" t="s">
        <v>1344</v>
      </c>
    </row>
    <row r="381" spans="1:7" x14ac:dyDescent="0.3">
      <c r="A381" s="275" t="s">
        <v>1350</v>
      </c>
      <c r="B381" s="290" t="s">
        <v>1007</v>
      </c>
      <c r="C381" s="194" t="s">
        <v>1344</v>
      </c>
      <c r="D381" s="194" t="s">
        <v>1344</v>
      </c>
    </row>
    <row r="382" spans="1:7" x14ac:dyDescent="0.3">
      <c r="A382" s="275" t="s">
        <v>1351</v>
      </c>
      <c r="B382" s="290" t="s">
        <v>352</v>
      </c>
      <c r="C382" s="297">
        <v>0</v>
      </c>
      <c r="D382" s="297">
        <v>0</v>
      </c>
      <c r="F382" s="302">
        <v>0</v>
      </c>
      <c r="G382" s="302">
        <v>0</v>
      </c>
    </row>
    <row r="383" spans="1:7" x14ac:dyDescent="0.3">
      <c r="A383" s="275" t="s">
        <v>1352</v>
      </c>
      <c r="B383" s="290" t="s">
        <v>1353</v>
      </c>
      <c r="C383" s="194" t="s">
        <v>1344</v>
      </c>
      <c r="D383" s="194" t="s">
        <v>1344</v>
      </c>
    </row>
    <row r="384" spans="1:7" x14ac:dyDescent="0.3">
      <c r="A384" s="275" t="s">
        <v>1354</v>
      </c>
      <c r="B384" s="229"/>
    </row>
    <row r="385" spans="1:10" x14ac:dyDescent="0.3">
      <c r="A385" s="275" t="s">
        <v>1355</v>
      </c>
      <c r="B385" s="234"/>
    </row>
    <row r="386" spans="1:10" x14ac:dyDescent="0.3">
      <c r="A386" s="275" t="s">
        <v>1356</v>
      </c>
      <c r="B386" s="234"/>
    </row>
    <row r="387" spans="1:10" x14ac:dyDescent="0.3">
      <c r="A387" s="275" t="s">
        <v>1357</v>
      </c>
      <c r="B387" s="234"/>
    </row>
    <row r="388" spans="1:10" x14ac:dyDescent="0.3">
      <c r="A388" s="275" t="s">
        <v>1358</v>
      </c>
      <c r="B388" s="234"/>
    </row>
    <row r="389" spans="1:10" x14ac:dyDescent="0.3">
      <c r="A389" s="275" t="s">
        <v>1359</v>
      </c>
      <c r="B389" s="234"/>
    </row>
    <row r="390" spans="1:10" x14ac:dyDescent="0.3">
      <c r="A390" s="275" t="s">
        <v>1360</v>
      </c>
      <c r="B390" s="234"/>
    </row>
    <row r="391" spans="1:10" x14ac:dyDescent="0.3">
      <c r="A391" s="275" t="s">
        <v>1361</v>
      </c>
      <c r="B391" s="234"/>
    </row>
    <row r="392" spans="1:10" x14ac:dyDescent="0.3">
      <c r="A392" s="275" t="s">
        <v>1362</v>
      </c>
      <c r="B392" s="234"/>
    </row>
    <row r="393" spans="1:10" x14ac:dyDescent="0.3">
      <c r="A393" s="275" t="s">
        <v>1363</v>
      </c>
      <c r="B393" s="234"/>
      <c r="C393" s="194"/>
      <c r="D393" s="194"/>
      <c r="F393" s="198"/>
      <c r="G393" s="198"/>
    </row>
    <row r="394" spans="1:10" x14ac:dyDescent="0.3">
      <c r="A394" s="275" t="s">
        <v>1364</v>
      </c>
      <c r="B394" s="229"/>
    </row>
    <row r="395" spans="1:10" x14ac:dyDescent="0.3">
      <c r="A395" s="275" t="s">
        <v>1365</v>
      </c>
      <c r="B395" s="229"/>
    </row>
    <row r="396" spans="1:10" s="194" customFormat="1" x14ac:dyDescent="0.3">
      <c r="A396" s="275" t="s">
        <v>1366</v>
      </c>
      <c r="B396" s="229"/>
      <c r="C396"/>
      <c r="D396"/>
      <c r="E396"/>
      <c r="F396"/>
      <c r="G396"/>
      <c r="H396"/>
      <c r="I396"/>
      <c r="J396"/>
    </row>
    <row r="397" spans="1:10" s="194" customFormat="1" x14ac:dyDescent="0.3">
      <c r="A397" s="275" t="s">
        <v>1367</v>
      </c>
      <c r="B397" s="229"/>
      <c r="C397"/>
      <c r="D397"/>
      <c r="E397"/>
      <c r="F397"/>
      <c r="G397"/>
      <c r="H397"/>
      <c r="I397"/>
      <c r="J397"/>
    </row>
    <row r="398" spans="1:10" s="194" customFormat="1" x14ac:dyDescent="0.3">
      <c r="A398" s="275" t="s">
        <v>1368</v>
      </c>
      <c r="B398" s="229"/>
      <c r="C398"/>
      <c r="D398"/>
      <c r="E398"/>
      <c r="F398"/>
      <c r="G398"/>
      <c r="H398"/>
      <c r="I398"/>
      <c r="J398"/>
    </row>
    <row r="399" spans="1:10" s="194" customFormat="1" x14ac:dyDescent="0.3">
      <c r="A399" s="275" t="s">
        <v>1369</v>
      </c>
      <c r="B399" s="229"/>
      <c r="C399"/>
      <c r="D399"/>
      <c r="E399"/>
      <c r="F399"/>
      <c r="G399"/>
      <c r="H399"/>
      <c r="I399"/>
      <c r="J399"/>
    </row>
    <row r="400" spans="1:10" s="194" customFormat="1" x14ac:dyDescent="0.3">
      <c r="A400" s="275" t="s">
        <v>1370</v>
      </c>
      <c r="B400" s="229"/>
      <c r="C400"/>
      <c r="D400"/>
      <c r="E400"/>
      <c r="F400"/>
      <c r="G400"/>
      <c r="H400"/>
      <c r="I400"/>
      <c r="J400"/>
    </row>
    <row r="401" spans="1:10" s="194" customFormat="1" x14ac:dyDescent="0.3">
      <c r="A401" s="275" t="s">
        <v>1371</v>
      </c>
      <c r="B401" s="229"/>
      <c r="C401"/>
      <c r="D401"/>
      <c r="E401"/>
      <c r="F401"/>
      <c r="G401"/>
      <c r="H401"/>
      <c r="I401"/>
      <c r="J401"/>
    </row>
    <row r="402" spans="1:10" s="194" customFormat="1" x14ac:dyDescent="0.3">
      <c r="A402" s="275" t="s">
        <v>1372</v>
      </c>
      <c r="B402" s="229"/>
      <c r="C402"/>
      <c r="D402"/>
      <c r="E402"/>
      <c r="F402"/>
      <c r="G402"/>
      <c r="H402"/>
      <c r="I402"/>
      <c r="J402"/>
    </row>
    <row r="403" spans="1:10" s="194" customFormat="1" x14ac:dyDescent="0.3">
      <c r="A403" s="275" t="s">
        <v>1373</v>
      </c>
      <c r="B403" s="229"/>
      <c r="C403"/>
      <c r="D403"/>
      <c r="E403"/>
      <c r="F403"/>
      <c r="G403"/>
      <c r="H403"/>
      <c r="I403"/>
      <c r="J403"/>
    </row>
    <row r="404" spans="1:10" s="194" customFormat="1" x14ac:dyDescent="0.3">
      <c r="A404" s="275" t="s">
        <v>1374</v>
      </c>
      <c r="B404" s="229"/>
      <c r="C404"/>
      <c r="D404"/>
      <c r="E404"/>
      <c r="F404"/>
      <c r="G404"/>
      <c r="H404"/>
      <c r="I404"/>
      <c r="J404"/>
    </row>
    <row r="405" spans="1:10" s="194" customFormat="1" x14ac:dyDescent="0.3">
      <c r="A405" s="275" t="s">
        <v>1375</v>
      </c>
      <c r="B405" s="229"/>
      <c r="C405"/>
      <c r="D405"/>
      <c r="E405"/>
      <c r="F405"/>
      <c r="G405"/>
      <c r="H405"/>
      <c r="I405"/>
      <c r="J405"/>
    </row>
    <row r="406" spans="1:10" s="194" customFormat="1" x14ac:dyDescent="0.3">
      <c r="A406" s="275" t="s">
        <v>1376</v>
      </c>
      <c r="B406" s="229"/>
      <c r="C406"/>
      <c r="D406"/>
      <c r="E406"/>
      <c r="F406"/>
      <c r="G406"/>
      <c r="H406"/>
      <c r="I406"/>
      <c r="J406"/>
    </row>
    <row r="407" spans="1:10" s="194" customFormat="1" x14ac:dyDescent="0.3">
      <c r="A407" s="275" t="s">
        <v>1377</v>
      </c>
      <c r="B407" s="229"/>
      <c r="C407"/>
      <c r="D407"/>
      <c r="E407"/>
      <c r="F407"/>
      <c r="G407"/>
      <c r="H407"/>
      <c r="I407"/>
      <c r="J407"/>
    </row>
    <row r="408" spans="1:10" s="194" customFormat="1" x14ac:dyDescent="0.3">
      <c r="A408" s="275" t="s">
        <v>1378</v>
      </c>
      <c r="B408" s="229"/>
      <c r="C408"/>
      <c r="D408"/>
      <c r="E408"/>
      <c r="F408"/>
      <c r="G408"/>
      <c r="H408"/>
      <c r="I408"/>
      <c r="J408"/>
    </row>
    <row r="409" spans="1:10" s="194" customFormat="1" x14ac:dyDescent="0.3">
      <c r="A409" s="275" t="s">
        <v>1379</v>
      </c>
      <c r="B409" s="229"/>
      <c r="C409"/>
      <c r="D409"/>
      <c r="E409"/>
      <c r="F409"/>
      <c r="G409"/>
      <c r="H409"/>
      <c r="I409"/>
      <c r="J409"/>
    </row>
    <row r="410" spans="1:10" s="194" customFormat="1" x14ac:dyDescent="0.3">
      <c r="A410" s="275" t="s">
        <v>1380</v>
      </c>
      <c r="B410" s="229"/>
      <c r="C410"/>
      <c r="D410"/>
      <c r="E410"/>
      <c r="F410"/>
      <c r="G410"/>
      <c r="H410"/>
      <c r="I410"/>
      <c r="J410"/>
    </row>
    <row r="411" spans="1:10" s="194" customFormat="1" x14ac:dyDescent="0.3">
      <c r="A411" s="275" t="s">
        <v>1381</v>
      </c>
      <c r="B411" s="229"/>
      <c r="C411"/>
      <c r="D411"/>
      <c r="E411"/>
      <c r="F411"/>
      <c r="G411"/>
      <c r="H411"/>
      <c r="I411"/>
      <c r="J411"/>
    </row>
    <row r="412" spans="1:10" x14ac:dyDescent="0.3">
      <c r="A412" s="275" t="s">
        <v>1382</v>
      </c>
      <c r="B412" s="229"/>
    </row>
    <row r="413" spans="1:10" x14ac:dyDescent="0.3">
      <c r="A413" s="275" t="s">
        <v>1383</v>
      </c>
      <c r="B413" s="229"/>
    </row>
    <row r="414" spans="1:10" x14ac:dyDescent="0.3">
      <c r="A414" s="275" t="s">
        <v>1384</v>
      </c>
      <c r="B414" s="229"/>
    </row>
    <row r="415" spans="1:10" x14ac:dyDescent="0.3">
      <c r="A415" s="275" t="s">
        <v>1385</v>
      </c>
      <c r="B415" s="229"/>
    </row>
    <row r="416" spans="1:10" x14ac:dyDescent="0.3">
      <c r="A416" s="275" t="s">
        <v>1386</v>
      </c>
      <c r="B416" s="229"/>
    </row>
    <row r="417" spans="1:7" x14ac:dyDescent="0.3">
      <c r="A417" s="275" t="s">
        <v>1387</v>
      </c>
      <c r="B417" s="229"/>
    </row>
    <row r="418" spans="1:7" x14ac:dyDescent="0.3">
      <c r="A418" s="275" t="s">
        <v>1388</v>
      </c>
      <c r="B418" s="229"/>
    </row>
    <row r="419" spans="1:7" x14ac:dyDescent="0.3">
      <c r="A419" s="275" t="s">
        <v>1389</v>
      </c>
      <c r="B419" s="229"/>
    </row>
    <row r="420" spans="1:7" x14ac:dyDescent="0.3">
      <c r="A420" s="275" t="s">
        <v>1390</v>
      </c>
      <c r="B420" s="229"/>
    </row>
    <row r="421" spans="1:7" x14ac:dyDescent="0.3">
      <c r="A421" s="275" t="s">
        <v>1391</v>
      </c>
      <c r="B421" s="229"/>
    </row>
    <row r="422" spans="1:7" x14ac:dyDescent="0.3">
      <c r="A422" s="275" t="s">
        <v>1392</v>
      </c>
      <c r="B422" s="229"/>
    </row>
    <row r="423" spans="1:7" ht="18.75" customHeight="1" x14ac:dyDescent="0.3">
      <c r="A423" s="332"/>
      <c r="B423" s="333" t="s">
        <v>1393</v>
      </c>
      <c r="C423" s="332"/>
      <c r="D423" s="332"/>
      <c r="E423" s="332"/>
      <c r="F423" s="332"/>
      <c r="G423" s="332"/>
    </row>
    <row r="424" spans="1:7" x14ac:dyDescent="0.3">
      <c r="A424" s="289"/>
      <c r="B424" s="289" t="s">
        <v>1394</v>
      </c>
      <c r="C424" s="289" t="s">
        <v>1092</v>
      </c>
      <c r="D424" s="289" t="s">
        <v>1093</v>
      </c>
      <c r="E424" s="289"/>
      <c r="F424" s="289" t="s">
        <v>880</v>
      </c>
      <c r="G424" s="289" t="s">
        <v>519</v>
      </c>
    </row>
    <row r="425" spans="1:7" x14ac:dyDescent="0.3">
      <c r="A425" s="275" t="s">
        <v>1395</v>
      </c>
      <c r="B425" s="275" t="s">
        <v>1095</v>
      </c>
    </row>
    <row r="426" spans="1:7" x14ac:dyDescent="0.3">
      <c r="A426" s="334"/>
      <c r="B426" s="229"/>
    </row>
    <row r="427" spans="1:7" x14ac:dyDescent="0.3">
      <c r="A427" s="229"/>
      <c r="B427" s="275" t="s">
        <v>1096</v>
      </c>
    </row>
    <row r="428" spans="1:7" x14ac:dyDescent="0.3">
      <c r="A428" s="275" t="s">
        <v>1396</v>
      </c>
      <c r="B428" s="232" t="s">
        <v>1229</v>
      </c>
    </row>
    <row r="429" spans="1:7" x14ac:dyDescent="0.3">
      <c r="A429" s="275" t="s">
        <v>1397</v>
      </c>
      <c r="B429" s="232" t="s">
        <v>1229</v>
      </c>
    </row>
    <row r="430" spans="1:7" x14ac:dyDescent="0.3">
      <c r="A430" s="275" t="s">
        <v>1398</v>
      </c>
      <c r="B430" s="232" t="s">
        <v>1229</v>
      </c>
    </row>
    <row r="431" spans="1:7" x14ac:dyDescent="0.3">
      <c r="A431" s="275" t="s">
        <v>1399</v>
      </c>
      <c r="B431" s="232" t="s">
        <v>1229</v>
      </c>
    </row>
    <row r="432" spans="1:7" x14ac:dyDescent="0.3">
      <c r="A432" s="275" t="s">
        <v>1400</v>
      </c>
      <c r="B432" s="232" t="s">
        <v>1229</v>
      </c>
    </row>
    <row r="433" spans="1:2" x14ac:dyDescent="0.3">
      <c r="A433" s="275" t="s">
        <v>1401</v>
      </c>
      <c r="B433" s="232" t="s">
        <v>1229</v>
      </c>
    </row>
    <row r="434" spans="1:2" x14ac:dyDescent="0.3">
      <c r="A434" s="275" t="s">
        <v>1402</v>
      </c>
      <c r="B434" s="232" t="s">
        <v>1229</v>
      </c>
    </row>
    <row r="435" spans="1:2" x14ac:dyDescent="0.3">
      <c r="A435" s="275" t="s">
        <v>1403</v>
      </c>
      <c r="B435" s="232" t="s">
        <v>1229</v>
      </c>
    </row>
    <row r="436" spans="1:2" x14ac:dyDescent="0.3">
      <c r="A436" s="275" t="s">
        <v>1404</v>
      </c>
      <c r="B436" s="232" t="s">
        <v>1229</v>
      </c>
    </row>
    <row r="437" spans="1:2" x14ac:dyDescent="0.3">
      <c r="A437" s="275" t="s">
        <v>1405</v>
      </c>
      <c r="B437" s="232" t="s">
        <v>1229</v>
      </c>
    </row>
    <row r="438" spans="1:2" x14ac:dyDescent="0.3">
      <c r="A438" s="275" t="s">
        <v>1406</v>
      </c>
      <c r="B438" s="232" t="s">
        <v>1229</v>
      </c>
    </row>
    <row r="439" spans="1:2" x14ac:dyDescent="0.3">
      <c r="A439" s="275" t="s">
        <v>1407</v>
      </c>
      <c r="B439" s="232" t="s">
        <v>1229</v>
      </c>
    </row>
    <row r="440" spans="1:2" x14ac:dyDescent="0.3">
      <c r="A440" s="275" t="s">
        <v>1408</v>
      </c>
      <c r="B440" s="232" t="s">
        <v>1229</v>
      </c>
    </row>
    <row r="441" spans="1:2" x14ac:dyDescent="0.3">
      <c r="A441" s="275" t="s">
        <v>1409</v>
      </c>
      <c r="B441" s="232" t="s">
        <v>1229</v>
      </c>
    </row>
    <row r="442" spans="1:2" x14ac:dyDescent="0.3">
      <c r="A442" s="275" t="s">
        <v>1410</v>
      </c>
      <c r="B442" s="232" t="s">
        <v>1229</v>
      </c>
    </row>
    <row r="443" spans="1:2" x14ac:dyDescent="0.3">
      <c r="A443" s="275" t="s">
        <v>1411</v>
      </c>
      <c r="B443" s="232" t="s">
        <v>1229</v>
      </c>
    </row>
    <row r="444" spans="1:2" x14ac:dyDescent="0.3">
      <c r="A444" s="275" t="s">
        <v>1412</v>
      </c>
      <c r="B444" s="232" t="s">
        <v>1229</v>
      </c>
    </row>
    <row r="445" spans="1:2" x14ac:dyDescent="0.3">
      <c r="A445" s="275" t="s">
        <v>1413</v>
      </c>
      <c r="B445" s="232" t="s">
        <v>1229</v>
      </c>
    </row>
    <row r="446" spans="1:2" x14ac:dyDescent="0.3">
      <c r="A446" s="275" t="s">
        <v>1414</v>
      </c>
      <c r="B446" s="232" t="s">
        <v>1229</v>
      </c>
    </row>
    <row r="447" spans="1:2" x14ac:dyDescent="0.3">
      <c r="A447" s="275" t="s">
        <v>1415</v>
      </c>
      <c r="B447" s="232" t="s">
        <v>1229</v>
      </c>
    </row>
    <row r="448" spans="1:2" x14ac:dyDescent="0.3">
      <c r="A448" s="275" t="s">
        <v>1416</v>
      </c>
      <c r="B448" s="232" t="s">
        <v>1229</v>
      </c>
    </row>
    <row r="449" spans="1:7" x14ac:dyDescent="0.3">
      <c r="A449" s="275" t="s">
        <v>1417</v>
      </c>
      <c r="B449" s="232" t="s">
        <v>1229</v>
      </c>
    </row>
    <row r="450" spans="1:7" x14ac:dyDescent="0.3">
      <c r="A450" s="275" t="s">
        <v>1418</v>
      </c>
      <c r="B450" s="232" t="s">
        <v>1229</v>
      </c>
    </row>
    <row r="451" spans="1:7" x14ac:dyDescent="0.3">
      <c r="A451" s="275" t="s">
        <v>1419</v>
      </c>
      <c r="B451" s="232" t="s">
        <v>1229</v>
      </c>
    </row>
    <row r="452" spans="1:7" x14ac:dyDescent="0.3">
      <c r="A452" s="275" t="s">
        <v>1420</v>
      </c>
      <c r="B452" s="290" t="s">
        <v>352</v>
      </c>
      <c r="C452" s="338">
        <v>0</v>
      </c>
      <c r="D452" s="338">
        <v>0</v>
      </c>
      <c r="F452" s="302">
        <v>0</v>
      </c>
      <c r="G452" s="302">
        <v>0</v>
      </c>
    </row>
    <row r="453" spans="1:7" x14ac:dyDescent="0.3">
      <c r="A453" s="289"/>
      <c r="B453" s="289" t="s">
        <v>1421</v>
      </c>
      <c r="C453" s="289" t="s">
        <v>1092</v>
      </c>
      <c r="D453" s="289" t="s">
        <v>1093</v>
      </c>
      <c r="E453" s="289"/>
      <c r="F453" s="289" t="s">
        <v>880</v>
      </c>
      <c r="G453" s="289" t="s">
        <v>519</v>
      </c>
    </row>
    <row r="454" spans="1:7" x14ac:dyDescent="0.3">
      <c r="A454" s="275" t="s">
        <v>1422</v>
      </c>
      <c r="B454" s="275" t="s">
        <v>1130</v>
      </c>
      <c r="C454" s="194" t="s">
        <v>654</v>
      </c>
      <c r="D454" s="194"/>
    </row>
    <row r="455" spans="1:7" x14ac:dyDescent="0.3">
      <c r="A455" s="229"/>
      <c r="B455" s="229"/>
      <c r="C455" s="194"/>
      <c r="D455" s="194"/>
    </row>
    <row r="456" spans="1:7" x14ac:dyDescent="0.3">
      <c r="A456" s="229"/>
      <c r="B456" s="290" t="s">
        <v>1131</v>
      </c>
      <c r="C456" s="194"/>
      <c r="D456" s="194"/>
    </row>
    <row r="457" spans="1:7" x14ac:dyDescent="0.3">
      <c r="A457" s="275" t="s">
        <v>1423</v>
      </c>
      <c r="B457" s="275" t="s">
        <v>1133</v>
      </c>
      <c r="C457" s="194" t="s">
        <v>654</v>
      </c>
      <c r="D457" s="194" t="s">
        <v>654</v>
      </c>
    </row>
    <row r="458" spans="1:7" x14ac:dyDescent="0.3">
      <c r="A458" s="275" t="s">
        <v>1424</v>
      </c>
      <c r="B458" s="275" t="s">
        <v>1135</v>
      </c>
      <c r="C458" s="194" t="s">
        <v>654</v>
      </c>
      <c r="D458" s="194" t="s">
        <v>654</v>
      </c>
    </row>
    <row r="459" spans="1:7" x14ac:dyDescent="0.3">
      <c r="A459" s="275" t="s">
        <v>1425</v>
      </c>
      <c r="B459" s="275" t="s">
        <v>1137</v>
      </c>
      <c r="C459" s="194" t="s">
        <v>654</v>
      </c>
      <c r="D459" s="194" t="s">
        <v>654</v>
      </c>
    </row>
    <row r="460" spans="1:7" x14ac:dyDescent="0.3">
      <c r="A460" s="275" t="s">
        <v>1426</v>
      </c>
      <c r="B460" s="275" t="s">
        <v>1139</v>
      </c>
      <c r="C460" s="194" t="s">
        <v>654</v>
      </c>
      <c r="D460" s="194" t="s">
        <v>654</v>
      </c>
    </row>
    <row r="461" spans="1:7" x14ac:dyDescent="0.3">
      <c r="A461" s="275" t="s">
        <v>1427</v>
      </c>
      <c r="B461" s="275" t="s">
        <v>1141</v>
      </c>
      <c r="C461" s="194" t="s">
        <v>654</v>
      </c>
      <c r="D461" s="194" t="s">
        <v>654</v>
      </c>
    </row>
    <row r="462" spans="1:7" x14ac:dyDescent="0.3">
      <c r="A462" s="275" t="s">
        <v>1428</v>
      </c>
      <c r="B462" s="275" t="s">
        <v>1143</v>
      </c>
      <c r="C462" s="194" t="s">
        <v>654</v>
      </c>
      <c r="D462" s="194" t="s">
        <v>654</v>
      </c>
    </row>
    <row r="463" spans="1:7" x14ac:dyDescent="0.3">
      <c r="A463" s="275" t="s">
        <v>1429</v>
      </c>
      <c r="B463" s="275" t="s">
        <v>1145</v>
      </c>
      <c r="C463" s="194" t="s">
        <v>654</v>
      </c>
      <c r="D463" s="194" t="s">
        <v>654</v>
      </c>
    </row>
    <row r="464" spans="1:7" x14ac:dyDescent="0.3">
      <c r="A464" s="275" t="s">
        <v>1430</v>
      </c>
      <c r="B464" s="275" t="s">
        <v>1147</v>
      </c>
      <c r="C464" s="194" t="s">
        <v>654</v>
      </c>
      <c r="D464" s="194" t="s">
        <v>654</v>
      </c>
    </row>
    <row r="465" spans="1:7" x14ac:dyDescent="0.3">
      <c r="A465" s="275" t="s">
        <v>1431</v>
      </c>
      <c r="B465" s="295" t="s">
        <v>352</v>
      </c>
      <c r="C465" s="338">
        <v>0</v>
      </c>
      <c r="D465" s="297">
        <v>0</v>
      </c>
      <c r="F465" s="302">
        <v>0</v>
      </c>
      <c r="G465" s="302">
        <v>0</v>
      </c>
    </row>
    <row r="466" spans="1:7" x14ac:dyDescent="0.3">
      <c r="A466" s="275" t="s">
        <v>1432</v>
      </c>
      <c r="B466" s="324" t="s">
        <v>1150</v>
      </c>
    </row>
    <row r="467" spans="1:7" x14ac:dyDescent="0.3">
      <c r="A467" s="275" t="s">
        <v>1433</v>
      </c>
      <c r="B467" s="324" t="s">
        <v>1152</v>
      </c>
    </row>
    <row r="468" spans="1:7" x14ac:dyDescent="0.3">
      <c r="A468" s="275" t="s">
        <v>1434</v>
      </c>
      <c r="B468" s="324" t="s">
        <v>1154</v>
      </c>
    </row>
    <row r="469" spans="1:7" x14ac:dyDescent="0.3">
      <c r="A469" s="275" t="s">
        <v>1435</v>
      </c>
      <c r="B469" s="324" t="s">
        <v>1156</v>
      </c>
    </row>
    <row r="470" spans="1:7" x14ac:dyDescent="0.3">
      <c r="A470" s="275" t="s">
        <v>1436</v>
      </c>
      <c r="B470" s="324" t="s">
        <v>1158</v>
      </c>
    </row>
    <row r="471" spans="1:7" x14ac:dyDescent="0.3">
      <c r="A471" s="275" t="s">
        <v>1437</v>
      </c>
      <c r="B471" s="324" t="s">
        <v>1160</v>
      </c>
    </row>
    <row r="472" spans="1:7" x14ac:dyDescent="0.3">
      <c r="A472" s="275" t="s">
        <v>1438</v>
      </c>
      <c r="B472" s="233"/>
    </row>
    <row r="473" spans="1:7" x14ac:dyDescent="0.3">
      <c r="A473" s="275" t="s">
        <v>1439</v>
      </c>
      <c r="B473" s="233"/>
    </row>
    <row r="474" spans="1:7" x14ac:dyDescent="0.3">
      <c r="A474" s="275" t="s">
        <v>1440</v>
      </c>
      <c r="B474" s="233"/>
    </row>
    <row r="475" spans="1:7" x14ac:dyDescent="0.3">
      <c r="A475" s="289"/>
      <c r="B475" s="289" t="s">
        <v>1441</v>
      </c>
      <c r="C475" s="289" t="s">
        <v>1092</v>
      </c>
      <c r="D475" s="289" t="s">
        <v>1093</v>
      </c>
      <c r="E475" s="289"/>
      <c r="F475" s="289" t="s">
        <v>880</v>
      </c>
      <c r="G475" s="289" t="s">
        <v>519</v>
      </c>
    </row>
    <row r="476" spans="1:7" x14ac:dyDescent="0.3">
      <c r="A476" s="275" t="s">
        <v>1442</v>
      </c>
      <c r="B476" s="275" t="s">
        <v>1130</v>
      </c>
      <c r="C476" s="229" t="s">
        <v>654</v>
      </c>
      <c r="D476" s="229"/>
    </row>
    <row r="477" spans="1:7" x14ac:dyDescent="0.3">
      <c r="A477" s="229"/>
      <c r="B477" s="229"/>
      <c r="C477" s="229"/>
      <c r="D477" s="229"/>
    </row>
    <row r="478" spans="1:7" x14ac:dyDescent="0.3">
      <c r="A478" s="229"/>
      <c r="B478" s="290" t="s">
        <v>1131</v>
      </c>
      <c r="C478" s="229"/>
      <c r="D478" s="229"/>
    </row>
    <row r="479" spans="1:7" x14ac:dyDescent="0.3">
      <c r="A479" s="275" t="s">
        <v>1443</v>
      </c>
      <c r="B479" s="275" t="s">
        <v>1133</v>
      </c>
      <c r="C479" s="229" t="s">
        <v>654</v>
      </c>
      <c r="D479" s="229" t="s">
        <v>654</v>
      </c>
    </row>
    <row r="480" spans="1:7" x14ac:dyDescent="0.3">
      <c r="A480" s="275" t="s">
        <v>1444</v>
      </c>
      <c r="B480" s="275" t="s">
        <v>1135</v>
      </c>
      <c r="C480" s="229" t="s">
        <v>654</v>
      </c>
      <c r="D480" s="229" t="s">
        <v>654</v>
      </c>
    </row>
    <row r="481" spans="1:7" x14ac:dyDescent="0.3">
      <c r="A481" s="275" t="s">
        <v>1445</v>
      </c>
      <c r="B481" s="275" t="s">
        <v>1137</v>
      </c>
      <c r="C481" s="229" t="s">
        <v>654</v>
      </c>
      <c r="D481" s="229" t="s">
        <v>654</v>
      </c>
    </row>
    <row r="482" spans="1:7" x14ac:dyDescent="0.3">
      <c r="A482" s="275" t="s">
        <v>1446</v>
      </c>
      <c r="B482" s="275" t="s">
        <v>1139</v>
      </c>
      <c r="C482" s="229" t="s">
        <v>654</v>
      </c>
      <c r="D482" s="229" t="s">
        <v>654</v>
      </c>
    </row>
    <row r="483" spans="1:7" x14ac:dyDescent="0.3">
      <c r="A483" s="275" t="s">
        <v>1447</v>
      </c>
      <c r="B483" s="275" t="s">
        <v>1141</v>
      </c>
      <c r="C483" s="229" t="s">
        <v>654</v>
      </c>
      <c r="D483" s="229" t="s">
        <v>654</v>
      </c>
    </row>
    <row r="484" spans="1:7" x14ac:dyDescent="0.3">
      <c r="A484" s="275" t="s">
        <v>1448</v>
      </c>
      <c r="B484" s="275" t="s">
        <v>1143</v>
      </c>
      <c r="C484" s="229" t="s">
        <v>654</v>
      </c>
      <c r="D484" s="229" t="s">
        <v>654</v>
      </c>
    </row>
    <row r="485" spans="1:7" x14ac:dyDescent="0.3">
      <c r="A485" s="275" t="s">
        <v>1449</v>
      </c>
      <c r="B485" s="275" t="s">
        <v>1145</v>
      </c>
      <c r="C485" s="229" t="s">
        <v>654</v>
      </c>
      <c r="D485" s="229" t="s">
        <v>654</v>
      </c>
    </row>
    <row r="486" spans="1:7" x14ac:dyDescent="0.3">
      <c r="A486" s="275" t="s">
        <v>1450</v>
      </c>
      <c r="B486" s="275" t="s">
        <v>1147</v>
      </c>
      <c r="C486" s="229" t="s">
        <v>654</v>
      </c>
      <c r="D486" s="229" t="s">
        <v>654</v>
      </c>
    </row>
    <row r="487" spans="1:7" x14ac:dyDescent="0.3">
      <c r="A487" s="275" t="s">
        <v>1451</v>
      </c>
      <c r="B487" s="295" t="s">
        <v>352</v>
      </c>
      <c r="C487" s="338">
        <v>0</v>
      </c>
      <c r="D487" s="297">
        <v>0</v>
      </c>
      <c r="F487" s="302">
        <v>0</v>
      </c>
      <c r="G487" s="302">
        <v>0</v>
      </c>
    </row>
    <row r="488" spans="1:7" x14ac:dyDescent="0.3">
      <c r="A488" s="275" t="s">
        <v>1452</v>
      </c>
      <c r="B488" s="324" t="s">
        <v>1150</v>
      </c>
    </row>
    <row r="489" spans="1:7" x14ac:dyDescent="0.3">
      <c r="A489" s="275" t="s">
        <v>1453</v>
      </c>
      <c r="B489" s="324" t="s">
        <v>1152</v>
      </c>
    </row>
    <row r="490" spans="1:7" x14ac:dyDescent="0.3">
      <c r="A490" s="275" t="s">
        <v>1454</v>
      </c>
      <c r="B490" s="324" t="s">
        <v>1154</v>
      </c>
    </row>
    <row r="491" spans="1:7" x14ac:dyDescent="0.3">
      <c r="A491" s="275" t="s">
        <v>1455</v>
      </c>
      <c r="B491" s="324" t="s">
        <v>1156</v>
      </c>
    </row>
    <row r="492" spans="1:7" x14ac:dyDescent="0.3">
      <c r="A492" s="275" t="s">
        <v>1456</v>
      </c>
      <c r="B492" s="324" t="s">
        <v>1158</v>
      </c>
    </row>
    <row r="493" spans="1:7" x14ac:dyDescent="0.3">
      <c r="A493" s="275" t="s">
        <v>1457</v>
      </c>
      <c r="B493" s="324" t="s">
        <v>1160</v>
      </c>
    </row>
    <row r="494" spans="1:7" x14ac:dyDescent="0.3">
      <c r="A494" s="275" t="s">
        <v>1458</v>
      </c>
      <c r="B494" s="233"/>
    </row>
    <row r="495" spans="1:7" x14ac:dyDescent="0.3">
      <c r="A495" s="275" t="s">
        <v>1459</v>
      </c>
      <c r="B495" s="233"/>
    </row>
    <row r="496" spans="1:7" x14ac:dyDescent="0.3">
      <c r="A496" s="275" t="s">
        <v>1460</v>
      </c>
      <c r="B496" s="233"/>
    </row>
    <row r="497" spans="1:7" x14ac:dyDescent="0.3">
      <c r="A497" s="289"/>
      <c r="B497" s="289" t="s">
        <v>1461</v>
      </c>
      <c r="C497" s="289" t="s">
        <v>1462</v>
      </c>
      <c r="D497" s="289"/>
      <c r="E497" s="289"/>
      <c r="F497" s="289"/>
      <c r="G497" s="289"/>
    </row>
    <row r="498" spans="1:7" x14ac:dyDescent="0.3">
      <c r="A498" s="275" t="s">
        <v>1463</v>
      </c>
      <c r="B498" s="290" t="s">
        <v>1464</v>
      </c>
      <c r="C498" s="194" t="s">
        <v>654</v>
      </c>
    </row>
    <row r="499" spans="1:7" x14ac:dyDescent="0.3">
      <c r="A499" s="275" t="s">
        <v>1465</v>
      </c>
      <c r="B499" s="290" t="s">
        <v>1466</v>
      </c>
      <c r="C499" s="194" t="s">
        <v>654</v>
      </c>
    </row>
    <row r="500" spans="1:7" x14ac:dyDescent="0.3">
      <c r="A500" s="275" t="s">
        <v>1467</v>
      </c>
      <c r="B500" s="290" t="s">
        <v>1468</v>
      </c>
      <c r="C500" s="194" t="s">
        <v>654</v>
      </c>
    </row>
    <row r="501" spans="1:7" x14ac:dyDescent="0.3">
      <c r="A501" s="275" t="s">
        <v>1469</v>
      </c>
      <c r="B501" s="290" t="s">
        <v>1470</v>
      </c>
      <c r="C501" s="194" t="s">
        <v>654</v>
      </c>
    </row>
    <row r="502" spans="1:7" x14ac:dyDescent="0.3">
      <c r="A502" s="275" t="s">
        <v>1471</v>
      </c>
      <c r="B502" s="290" t="s">
        <v>1472</v>
      </c>
      <c r="C502" s="194" t="s">
        <v>654</v>
      </c>
    </row>
    <row r="503" spans="1:7" x14ac:dyDescent="0.3">
      <c r="A503" s="275" t="s">
        <v>1473</v>
      </c>
      <c r="B503" s="290" t="s">
        <v>1474</v>
      </c>
      <c r="C503" s="194" t="s">
        <v>654</v>
      </c>
    </row>
    <row r="504" spans="1:7" x14ac:dyDescent="0.3">
      <c r="A504" s="275" t="s">
        <v>1475</v>
      </c>
      <c r="B504" s="290" t="s">
        <v>1476</v>
      </c>
      <c r="C504" s="194" t="s">
        <v>654</v>
      </c>
    </row>
    <row r="505" spans="1:7" x14ac:dyDescent="0.3">
      <c r="A505" s="275" t="s">
        <v>1477</v>
      </c>
      <c r="B505" s="290" t="s">
        <v>1478</v>
      </c>
      <c r="C505" s="194" t="s">
        <v>654</v>
      </c>
    </row>
    <row r="506" spans="1:7" x14ac:dyDescent="0.3">
      <c r="A506" s="275" t="s">
        <v>1479</v>
      </c>
      <c r="B506" s="290" t="s">
        <v>1480</v>
      </c>
      <c r="C506" s="194" t="s">
        <v>654</v>
      </c>
    </row>
    <row r="507" spans="1:7" x14ac:dyDescent="0.3">
      <c r="A507" s="275" t="s">
        <v>1481</v>
      </c>
      <c r="B507" s="290" t="s">
        <v>1482</v>
      </c>
      <c r="C507" s="194" t="s">
        <v>654</v>
      </c>
    </row>
    <row r="508" spans="1:7" x14ac:dyDescent="0.3">
      <c r="A508" s="275" t="s">
        <v>1483</v>
      </c>
      <c r="B508" s="290" t="s">
        <v>1484</v>
      </c>
      <c r="C508" s="194" t="s">
        <v>654</v>
      </c>
    </row>
    <row r="509" spans="1:7" x14ac:dyDescent="0.3">
      <c r="A509" s="275" t="s">
        <v>1485</v>
      </c>
      <c r="B509" s="290" t="s">
        <v>1486</v>
      </c>
      <c r="C509" s="194" t="s">
        <v>654</v>
      </c>
    </row>
    <row r="510" spans="1:7" x14ac:dyDescent="0.3">
      <c r="A510" s="275" t="s">
        <v>1487</v>
      </c>
      <c r="B510" s="290" t="s">
        <v>350</v>
      </c>
      <c r="C510" s="194" t="s">
        <v>654</v>
      </c>
    </row>
    <row r="511" spans="1:7" x14ac:dyDescent="0.3">
      <c r="A511" s="275" t="s">
        <v>1488</v>
      </c>
      <c r="B511" s="324" t="s">
        <v>1489</v>
      </c>
    </row>
    <row r="512" spans="1:7" x14ac:dyDescent="0.3">
      <c r="A512" s="275" t="s">
        <v>1490</v>
      </c>
      <c r="B512" s="227" t="s">
        <v>354</v>
      </c>
    </row>
    <row r="513" spans="1:7" x14ac:dyDescent="0.3">
      <c r="A513" s="275" t="s">
        <v>1491</v>
      </c>
      <c r="B513" s="227" t="s">
        <v>354</v>
      </c>
    </row>
    <row r="514" spans="1:7" x14ac:dyDescent="0.3">
      <c r="A514" s="275" t="s">
        <v>1492</v>
      </c>
      <c r="B514" s="227" t="s">
        <v>354</v>
      </c>
    </row>
    <row r="515" spans="1:7" x14ac:dyDescent="0.3">
      <c r="A515" s="275" t="s">
        <v>1493</v>
      </c>
      <c r="B515" s="227" t="s">
        <v>354</v>
      </c>
    </row>
    <row r="516" spans="1:7" x14ac:dyDescent="0.3">
      <c r="A516" s="275" t="s">
        <v>1494</v>
      </c>
      <c r="B516" s="227" t="s">
        <v>354</v>
      </c>
    </row>
    <row r="517" spans="1:7" x14ac:dyDescent="0.3">
      <c r="A517" s="275" t="s">
        <v>1495</v>
      </c>
      <c r="B517" s="227" t="s">
        <v>354</v>
      </c>
    </row>
    <row r="518" spans="1:7" x14ac:dyDescent="0.3">
      <c r="A518" s="275" t="s">
        <v>1496</v>
      </c>
      <c r="B518" s="227" t="s">
        <v>354</v>
      </c>
    </row>
    <row r="519" spans="1:7" x14ac:dyDescent="0.3">
      <c r="A519" s="275" t="s">
        <v>1497</v>
      </c>
      <c r="B519" s="227" t="s">
        <v>354</v>
      </c>
    </row>
    <row r="520" spans="1:7" x14ac:dyDescent="0.3">
      <c r="A520" s="275" t="s">
        <v>1498</v>
      </c>
      <c r="B520" s="227" t="s">
        <v>354</v>
      </c>
    </row>
    <row r="521" spans="1:7" x14ac:dyDescent="0.3">
      <c r="A521" s="275" t="s">
        <v>1499</v>
      </c>
      <c r="B521" s="227" t="s">
        <v>354</v>
      </c>
    </row>
    <row r="522" spans="1:7" x14ac:dyDescent="0.3">
      <c r="A522" s="275" t="s">
        <v>1500</v>
      </c>
      <c r="B522" s="227" t="s">
        <v>354</v>
      </c>
    </row>
    <row r="523" spans="1:7" x14ac:dyDescent="0.3">
      <c r="A523" s="275" t="s">
        <v>1501</v>
      </c>
      <c r="B523" s="227" t="s">
        <v>354</v>
      </c>
    </row>
    <row r="524" spans="1:7" x14ac:dyDescent="0.3">
      <c r="A524" s="275" t="s">
        <v>1502</v>
      </c>
      <c r="B524" s="227" t="s">
        <v>354</v>
      </c>
    </row>
    <row r="525" spans="1:7" x14ac:dyDescent="0.3">
      <c r="A525" s="289"/>
      <c r="B525" s="289" t="s">
        <v>1503</v>
      </c>
      <c r="C525" s="289" t="s">
        <v>310</v>
      </c>
      <c r="D525" s="289" t="s">
        <v>1504</v>
      </c>
      <c r="E525" s="289"/>
      <c r="F525" s="289" t="s">
        <v>880</v>
      </c>
      <c r="G525" s="289" t="s">
        <v>1505</v>
      </c>
    </row>
    <row r="526" spans="1:7" x14ac:dyDescent="0.3">
      <c r="A526" s="275" t="s">
        <v>1506</v>
      </c>
      <c r="B526" s="232" t="s">
        <v>1229</v>
      </c>
    </row>
    <row r="527" spans="1:7" x14ac:dyDescent="0.3">
      <c r="A527" s="275" t="s">
        <v>1507</v>
      </c>
      <c r="B527" s="232" t="s">
        <v>1229</v>
      </c>
    </row>
    <row r="528" spans="1:7" x14ac:dyDescent="0.3">
      <c r="A528" s="275" t="s">
        <v>1508</v>
      </c>
      <c r="B528" s="232" t="s">
        <v>1229</v>
      </c>
    </row>
    <row r="529" spans="1:7" x14ac:dyDescent="0.3">
      <c r="A529" s="275" t="s">
        <v>1509</v>
      </c>
      <c r="B529" s="232" t="s">
        <v>1229</v>
      </c>
    </row>
    <row r="530" spans="1:7" x14ac:dyDescent="0.3">
      <c r="A530" s="275" t="s">
        <v>1510</v>
      </c>
      <c r="B530" s="232" t="s">
        <v>1229</v>
      </c>
    </row>
    <row r="531" spans="1:7" x14ac:dyDescent="0.3">
      <c r="A531" s="275" t="s">
        <v>1511</v>
      </c>
      <c r="B531" s="232" t="s">
        <v>1229</v>
      </c>
    </row>
    <row r="532" spans="1:7" x14ac:dyDescent="0.3">
      <c r="A532" s="275" t="s">
        <v>1512</v>
      </c>
      <c r="B532" s="232" t="s">
        <v>1229</v>
      </c>
    </row>
    <row r="533" spans="1:7" x14ac:dyDescent="0.3">
      <c r="A533" s="275" t="s">
        <v>1513</v>
      </c>
      <c r="B533" s="232" t="s">
        <v>1229</v>
      </c>
    </row>
    <row r="534" spans="1:7" x14ac:dyDescent="0.3">
      <c r="A534" s="275" t="s">
        <v>1514</v>
      </c>
      <c r="B534" s="232" t="s">
        <v>1229</v>
      </c>
    </row>
    <row r="535" spans="1:7" x14ac:dyDescent="0.3">
      <c r="A535" s="275" t="s">
        <v>1515</v>
      </c>
      <c r="B535" s="232" t="s">
        <v>1229</v>
      </c>
    </row>
    <row r="536" spans="1:7" x14ac:dyDescent="0.3">
      <c r="A536" s="275" t="s">
        <v>1516</v>
      </c>
      <c r="B536" s="232" t="s">
        <v>1229</v>
      </c>
    </row>
    <row r="537" spans="1:7" x14ac:dyDescent="0.3">
      <c r="A537" s="275" t="s">
        <v>1517</v>
      </c>
      <c r="B537" s="232" t="s">
        <v>1229</v>
      </c>
    </row>
    <row r="538" spans="1:7" x14ac:dyDescent="0.3">
      <c r="A538" s="275" t="s">
        <v>1518</v>
      </c>
      <c r="B538" s="232" t="s">
        <v>1229</v>
      </c>
    </row>
    <row r="539" spans="1:7" x14ac:dyDescent="0.3">
      <c r="A539" s="275" t="s">
        <v>1519</v>
      </c>
      <c r="B539" s="232" t="s">
        <v>1229</v>
      </c>
    </row>
    <row r="540" spans="1:7" x14ac:dyDescent="0.3">
      <c r="A540" s="275" t="s">
        <v>1520</v>
      </c>
      <c r="B540" s="232" t="s">
        <v>1229</v>
      </c>
    </row>
    <row r="541" spans="1:7" x14ac:dyDescent="0.3">
      <c r="A541" s="275" t="s">
        <v>1521</v>
      </c>
      <c r="B541" s="232" t="s">
        <v>1229</v>
      </c>
    </row>
    <row r="542" spans="1:7" x14ac:dyDescent="0.3">
      <c r="A542" s="275" t="s">
        <v>1522</v>
      </c>
      <c r="B542" s="232" t="s">
        <v>1229</v>
      </c>
    </row>
    <row r="543" spans="1:7" x14ac:dyDescent="0.3">
      <c r="A543" s="275" t="s">
        <v>1523</v>
      </c>
      <c r="B543" s="290" t="s">
        <v>1247</v>
      </c>
    </row>
    <row r="544" spans="1:7" x14ac:dyDescent="0.3">
      <c r="A544" s="275" t="s">
        <v>1524</v>
      </c>
      <c r="B544" s="290" t="s">
        <v>352</v>
      </c>
      <c r="C544" s="338">
        <v>0</v>
      </c>
      <c r="D544" s="297">
        <v>0</v>
      </c>
      <c r="F544" s="302">
        <v>0</v>
      </c>
      <c r="G544" s="302">
        <v>0</v>
      </c>
    </row>
    <row r="545" spans="1:7" x14ac:dyDescent="0.3">
      <c r="A545" s="275" t="s">
        <v>1525</v>
      </c>
      <c r="B545" s="234"/>
    </row>
    <row r="546" spans="1:7" x14ac:dyDescent="0.3">
      <c r="A546" s="275" t="s">
        <v>1526</v>
      </c>
      <c r="B546" s="234"/>
    </row>
    <row r="547" spans="1:7" x14ac:dyDescent="0.3">
      <c r="A547" s="275" t="s">
        <v>1527</v>
      </c>
      <c r="B547" s="234"/>
    </row>
    <row r="548" spans="1:7" x14ac:dyDescent="0.3">
      <c r="A548" s="289"/>
      <c r="B548" s="289" t="s">
        <v>1528</v>
      </c>
      <c r="C548" s="289" t="s">
        <v>310</v>
      </c>
      <c r="D548" s="289" t="s">
        <v>1226</v>
      </c>
      <c r="E548" s="289"/>
      <c r="F548" s="289" t="s">
        <v>880</v>
      </c>
      <c r="G548" s="289" t="s">
        <v>1505</v>
      </c>
    </row>
    <row r="549" spans="1:7" x14ac:dyDescent="0.3">
      <c r="A549" s="275" t="s">
        <v>1529</v>
      </c>
      <c r="B549" s="232" t="s">
        <v>1229</v>
      </c>
    </row>
    <row r="550" spans="1:7" x14ac:dyDescent="0.3">
      <c r="A550" s="275" t="s">
        <v>1530</v>
      </c>
      <c r="B550" s="232" t="s">
        <v>1229</v>
      </c>
    </row>
    <row r="551" spans="1:7" x14ac:dyDescent="0.3">
      <c r="A551" s="275" t="s">
        <v>1531</v>
      </c>
      <c r="B551" s="232" t="s">
        <v>1229</v>
      </c>
    </row>
    <row r="552" spans="1:7" x14ac:dyDescent="0.3">
      <c r="A552" s="275" t="s">
        <v>1532</v>
      </c>
      <c r="B552" s="232" t="s">
        <v>1229</v>
      </c>
    </row>
    <row r="553" spans="1:7" x14ac:dyDescent="0.3">
      <c r="A553" s="275" t="s">
        <v>1533</v>
      </c>
      <c r="B553" s="232" t="s">
        <v>1229</v>
      </c>
    </row>
    <row r="554" spans="1:7" x14ac:dyDescent="0.3">
      <c r="A554" s="275" t="s">
        <v>1534</v>
      </c>
      <c r="B554" s="232" t="s">
        <v>1229</v>
      </c>
    </row>
    <row r="555" spans="1:7" x14ac:dyDescent="0.3">
      <c r="A555" s="275" t="s">
        <v>1535</v>
      </c>
      <c r="B555" s="232" t="s">
        <v>1229</v>
      </c>
    </row>
    <row r="556" spans="1:7" x14ac:dyDescent="0.3">
      <c r="A556" s="275" t="s">
        <v>1536</v>
      </c>
      <c r="B556" s="232" t="s">
        <v>1229</v>
      </c>
    </row>
    <row r="557" spans="1:7" x14ac:dyDescent="0.3">
      <c r="A557" s="275" t="s">
        <v>1537</v>
      </c>
      <c r="B557" s="232" t="s">
        <v>1229</v>
      </c>
    </row>
    <row r="558" spans="1:7" x14ac:dyDescent="0.3">
      <c r="A558" s="275" t="s">
        <v>1538</v>
      </c>
      <c r="B558" s="232" t="s">
        <v>1229</v>
      </c>
    </row>
    <row r="559" spans="1:7" x14ac:dyDescent="0.3">
      <c r="A559" s="275" t="s">
        <v>1539</v>
      </c>
      <c r="B559" s="232" t="s">
        <v>1229</v>
      </c>
    </row>
    <row r="560" spans="1:7" x14ac:dyDescent="0.3">
      <c r="A560" s="275" t="s">
        <v>1540</v>
      </c>
      <c r="B560" s="232" t="s">
        <v>1229</v>
      </c>
    </row>
    <row r="561" spans="1:7" x14ac:dyDescent="0.3">
      <c r="A561" s="275" t="s">
        <v>1541</v>
      </c>
      <c r="B561" s="232" t="s">
        <v>1229</v>
      </c>
    </row>
    <row r="562" spans="1:7" x14ac:dyDescent="0.3">
      <c r="A562" s="275" t="s">
        <v>1542</v>
      </c>
      <c r="B562" s="232" t="s">
        <v>1229</v>
      </c>
    </row>
    <row r="563" spans="1:7" x14ac:dyDescent="0.3">
      <c r="A563" s="275" t="s">
        <v>1543</v>
      </c>
      <c r="B563" s="232" t="s">
        <v>1229</v>
      </c>
    </row>
    <row r="564" spans="1:7" x14ac:dyDescent="0.3">
      <c r="A564" s="275" t="s">
        <v>1544</v>
      </c>
      <c r="B564" s="232" t="s">
        <v>1229</v>
      </c>
    </row>
    <row r="565" spans="1:7" x14ac:dyDescent="0.3">
      <c r="A565" s="275" t="s">
        <v>1545</v>
      </c>
      <c r="B565" s="232" t="s">
        <v>1229</v>
      </c>
    </row>
    <row r="566" spans="1:7" x14ac:dyDescent="0.3">
      <c r="A566" s="275" t="s">
        <v>1546</v>
      </c>
      <c r="B566" s="290" t="s">
        <v>1247</v>
      </c>
    </row>
    <row r="567" spans="1:7" x14ac:dyDescent="0.3">
      <c r="A567" s="275" t="s">
        <v>1547</v>
      </c>
      <c r="B567" s="290" t="s">
        <v>352</v>
      </c>
      <c r="C567" s="338">
        <v>0</v>
      </c>
      <c r="D567" s="297">
        <v>0</v>
      </c>
      <c r="F567" s="302">
        <v>0</v>
      </c>
      <c r="G567" s="302">
        <v>0</v>
      </c>
    </row>
    <row r="568" spans="1:7" x14ac:dyDescent="0.3">
      <c r="A568" s="275" t="s">
        <v>1548</v>
      </c>
      <c r="B568" s="234"/>
      <c r="C568" s="201"/>
      <c r="D568" s="194"/>
      <c r="F568" s="198"/>
      <c r="G568" s="198"/>
    </row>
    <row r="569" spans="1:7" x14ac:dyDescent="0.3">
      <c r="A569" s="275" t="s">
        <v>1549</v>
      </c>
      <c r="B569" s="234"/>
      <c r="C569" s="201"/>
      <c r="D569" s="194"/>
      <c r="F569" s="198"/>
      <c r="G569" s="198"/>
    </row>
    <row r="570" spans="1:7" x14ac:dyDescent="0.3">
      <c r="A570" s="275" t="s">
        <v>1550</v>
      </c>
      <c r="B570" s="234"/>
      <c r="C570" s="201"/>
      <c r="D570" s="194"/>
      <c r="F570" s="198"/>
      <c r="G570" s="198"/>
    </row>
    <row r="571" spans="1:7" x14ac:dyDescent="0.3">
      <c r="A571" s="289"/>
      <c r="B571" s="289" t="s">
        <v>1551</v>
      </c>
      <c r="C571" s="289" t="s">
        <v>310</v>
      </c>
      <c r="D571" s="289" t="s">
        <v>1504</v>
      </c>
      <c r="E571" s="289"/>
      <c r="F571" s="289" t="s">
        <v>880</v>
      </c>
      <c r="G571" s="289" t="s">
        <v>1505</v>
      </c>
    </row>
    <row r="572" spans="1:7" x14ac:dyDescent="0.3">
      <c r="A572" s="275" t="s">
        <v>1552</v>
      </c>
      <c r="B572" s="290" t="s">
        <v>1278</v>
      </c>
    </row>
    <row r="573" spans="1:7" x14ac:dyDescent="0.3">
      <c r="A573" s="275" t="s">
        <v>1553</v>
      </c>
      <c r="B573" s="290" t="s">
        <v>1280</v>
      </c>
    </row>
    <row r="574" spans="1:7" x14ac:dyDescent="0.3">
      <c r="A574" s="275" t="s">
        <v>1554</v>
      </c>
      <c r="B574" s="290" t="s">
        <v>1282</v>
      </c>
    </row>
    <row r="575" spans="1:7" x14ac:dyDescent="0.3">
      <c r="A575" s="275" t="s">
        <v>1555</v>
      </c>
      <c r="B575" s="290" t="s">
        <v>1284</v>
      </c>
    </row>
    <row r="576" spans="1:7" x14ac:dyDescent="0.3">
      <c r="A576" s="275" t="s">
        <v>1556</v>
      </c>
      <c r="B576" s="290" t="s">
        <v>1286</v>
      </c>
    </row>
    <row r="577" spans="1:7" x14ac:dyDescent="0.3">
      <c r="A577" s="275" t="s">
        <v>1557</v>
      </c>
      <c r="B577" s="290" t="s">
        <v>1288</v>
      </c>
    </row>
    <row r="578" spans="1:7" x14ac:dyDescent="0.3">
      <c r="A578" s="275" t="s">
        <v>1558</v>
      </c>
      <c r="B578" s="290" t="s">
        <v>1290</v>
      </c>
    </row>
    <row r="579" spans="1:7" x14ac:dyDescent="0.3">
      <c r="A579" s="275" t="s">
        <v>1559</v>
      </c>
      <c r="B579" s="290" t="s">
        <v>1292</v>
      </c>
    </row>
    <row r="580" spans="1:7" x14ac:dyDescent="0.3">
      <c r="A580" s="275" t="s">
        <v>1560</v>
      </c>
      <c r="B580" s="290" t="s">
        <v>1294</v>
      </c>
    </row>
    <row r="581" spans="1:7" x14ac:dyDescent="0.3">
      <c r="A581" s="275" t="s">
        <v>1561</v>
      </c>
      <c r="B581" s="275" t="s">
        <v>1296</v>
      </c>
    </row>
    <row r="582" spans="1:7" x14ac:dyDescent="0.3">
      <c r="A582" s="275" t="s">
        <v>1562</v>
      </c>
      <c r="B582" s="275" t="s">
        <v>1298</v>
      </c>
    </row>
    <row r="583" spans="1:7" x14ac:dyDescent="0.3">
      <c r="A583" s="275" t="s">
        <v>1563</v>
      </c>
      <c r="B583" s="290" t="s">
        <v>1300</v>
      </c>
    </row>
    <row r="584" spans="1:7" x14ac:dyDescent="0.3">
      <c r="A584" s="275" t="s">
        <v>1564</v>
      </c>
      <c r="B584" s="275" t="s">
        <v>1247</v>
      </c>
    </row>
    <row r="585" spans="1:7" x14ac:dyDescent="0.3">
      <c r="A585" s="275" t="s">
        <v>1565</v>
      </c>
      <c r="B585" s="290" t="s">
        <v>352</v>
      </c>
      <c r="C585" s="338">
        <v>0</v>
      </c>
      <c r="D585" s="297">
        <v>0</v>
      </c>
      <c r="F585" s="302">
        <v>0</v>
      </c>
      <c r="G585" s="302">
        <v>0</v>
      </c>
    </row>
    <row r="586" spans="1:7" x14ac:dyDescent="0.3">
      <c r="A586" s="275" t="s">
        <v>1566</v>
      </c>
      <c r="B586" s="234"/>
    </row>
    <row r="587" spans="1:7" x14ac:dyDescent="0.3">
      <c r="A587" s="275" t="s">
        <v>1567</v>
      </c>
      <c r="B587" s="234"/>
    </row>
    <row r="588" spans="1:7" x14ac:dyDescent="0.3">
      <c r="A588" s="275" t="s">
        <v>1568</v>
      </c>
      <c r="B588" s="234"/>
    </row>
    <row r="589" spans="1:7" x14ac:dyDescent="0.3">
      <c r="A589" s="275" t="s">
        <v>1569</v>
      </c>
      <c r="B589" s="234"/>
    </row>
    <row r="590" spans="1:7" x14ac:dyDescent="0.3">
      <c r="A590" s="275" t="s">
        <v>1570</v>
      </c>
      <c r="B590" s="234"/>
    </row>
    <row r="591" spans="1:7" x14ac:dyDescent="0.3">
      <c r="A591" s="275" t="s">
        <v>1571</v>
      </c>
      <c r="B591" s="234"/>
    </row>
    <row r="592" spans="1:7" x14ac:dyDescent="0.3">
      <c r="A592" s="275" t="s">
        <v>1572</v>
      </c>
    </row>
    <row r="593" spans="1:7" x14ac:dyDescent="0.3">
      <c r="A593" s="275" t="s">
        <v>1573</v>
      </c>
    </row>
    <row r="594" spans="1:7" x14ac:dyDescent="0.3">
      <c r="A594" s="275" t="s">
        <v>1574</v>
      </c>
      <c r="B594" s="229"/>
    </row>
    <row r="595" spans="1:7" x14ac:dyDescent="0.3">
      <c r="A595" s="275" t="s">
        <v>1575</v>
      </c>
      <c r="B595" s="229"/>
    </row>
    <row r="596" spans="1:7" x14ac:dyDescent="0.3">
      <c r="A596" s="289"/>
      <c r="B596" s="289" t="s">
        <v>1576</v>
      </c>
      <c r="C596" s="289" t="s">
        <v>310</v>
      </c>
      <c r="D596" s="289" t="s">
        <v>1226</v>
      </c>
      <c r="E596" s="289"/>
      <c r="F596" s="289" t="s">
        <v>880</v>
      </c>
      <c r="G596" s="289" t="s">
        <v>1505</v>
      </c>
    </row>
    <row r="597" spans="1:7" x14ac:dyDescent="0.3">
      <c r="A597" s="275" t="s">
        <v>1577</v>
      </c>
      <c r="B597" s="290" t="s">
        <v>1578</v>
      </c>
    </row>
    <row r="598" spans="1:7" x14ac:dyDescent="0.3">
      <c r="A598" s="275" t="s">
        <v>1579</v>
      </c>
      <c r="B598" s="337" t="s">
        <v>1580</v>
      </c>
    </row>
    <row r="599" spans="1:7" x14ac:dyDescent="0.3">
      <c r="A599" s="275" t="s">
        <v>1581</v>
      </c>
      <c r="B599" s="290" t="s">
        <v>1007</v>
      </c>
    </row>
    <row r="600" spans="1:7" x14ac:dyDescent="0.3">
      <c r="A600" s="275" t="s">
        <v>1582</v>
      </c>
      <c r="B600" s="275" t="s">
        <v>1247</v>
      </c>
    </row>
    <row r="601" spans="1:7" x14ac:dyDescent="0.3">
      <c r="A601" s="275" t="s">
        <v>1583</v>
      </c>
      <c r="B601" s="290" t="s">
        <v>352</v>
      </c>
      <c r="C601" s="338">
        <v>0</v>
      </c>
      <c r="D601" s="297">
        <v>0</v>
      </c>
      <c r="F601" s="302">
        <v>0</v>
      </c>
      <c r="G601" s="302">
        <v>0</v>
      </c>
    </row>
    <row r="602" spans="1:7" x14ac:dyDescent="0.3">
      <c r="A602" s="229"/>
      <c r="B602" s="229"/>
    </row>
    <row r="603" spans="1:7" x14ac:dyDescent="0.3">
      <c r="A603" s="289"/>
      <c r="B603" s="289" t="s">
        <v>1584</v>
      </c>
      <c r="C603" s="289" t="s">
        <v>1339</v>
      </c>
      <c r="D603" s="289" t="s">
        <v>1585</v>
      </c>
      <c r="E603" s="289"/>
      <c r="F603" s="339" t="s">
        <v>1341</v>
      </c>
      <c r="G603" s="336" t="s">
        <v>1342</v>
      </c>
    </row>
    <row r="604" spans="1:7" x14ac:dyDescent="0.3">
      <c r="A604" s="275" t="s">
        <v>1586</v>
      </c>
      <c r="B604" s="290" t="s">
        <v>1464</v>
      </c>
      <c r="C604" s="194" t="s">
        <v>1344</v>
      </c>
      <c r="D604" s="194" t="s">
        <v>1344</v>
      </c>
    </row>
    <row r="605" spans="1:7" x14ac:dyDescent="0.3">
      <c r="A605" s="275" t="s">
        <v>1587</v>
      </c>
      <c r="B605" s="290" t="s">
        <v>1466</v>
      </c>
      <c r="C605" s="194" t="s">
        <v>1344</v>
      </c>
      <c r="D605" s="194" t="s">
        <v>1344</v>
      </c>
    </row>
    <row r="606" spans="1:7" x14ac:dyDescent="0.3">
      <c r="A606" s="275" t="s">
        <v>1588</v>
      </c>
      <c r="B606" s="290" t="s">
        <v>1468</v>
      </c>
      <c r="C606" s="194" t="s">
        <v>1344</v>
      </c>
      <c r="D606" s="194" t="s">
        <v>1344</v>
      </c>
    </row>
    <row r="607" spans="1:7" x14ac:dyDescent="0.3">
      <c r="A607" s="275" t="s">
        <v>1589</v>
      </c>
      <c r="B607" s="290" t="s">
        <v>1470</v>
      </c>
      <c r="C607" s="194" t="s">
        <v>1344</v>
      </c>
      <c r="D607" s="194" t="s">
        <v>1344</v>
      </c>
    </row>
    <row r="608" spans="1:7" x14ac:dyDescent="0.3">
      <c r="A608" s="275" t="s">
        <v>1590</v>
      </c>
      <c r="B608" s="290" t="s">
        <v>1472</v>
      </c>
      <c r="C608" s="194" t="s">
        <v>1344</v>
      </c>
      <c r="D608" s="194" t="s">
        <v>1344</v>
      </c>
    </row>
    <row r="609" spans="1:7" x14ac:dyDescent="0.3">
      <c r="A609" s="275" t="s">
        <v>1591</v>
      </c>
      <c r="B609" s="290" t="s">
        <v>1474</v>
      </c>
      <c r="C609" s="194" t="s">
        <v>1344</v>
      </c>
      <c r="D609" s="194" t="s">
        <v>1344</v>
      </c>
    </row>
    <row r="610" spans="1:7" x14ac:dyDescent="0.3">
      <c r="A610" s="275" t="s">
        <v>1592</v>
      </c>
      <c r="B610" s="290" t="s">
        <v>1476</v>
      </c>
      <c r="C610" s="194" t="s">
        <v>1344</v>
      </c>
      <c r="D610" s="194" t="s">
        <v>1344</v>
      </c>
    </row>
    <row r="611" spans="1:7" x14ac:dyDescent="0.3">
      <c r="A611" s="275" t="s">
        <v>1593</v>
      </c>
      <c r="B611" s="290" t="s">
        <v>1478</v>
      </c>
      <c r="C611" s="194" t="s">
        <v>1344</v>
      </c>
      <c r="D611" s="194" t="s">
        <v>1344</v>
      </c>
    </row>
    <row r="612" spans="1:7" x14ac:dyDescent="0.3">
      <c r="A612" s="275" t="s">
        <v>1594</v>
      </c>
      <c r="B612" s="290" t="s">
        <v>1480</v>
      </c>
      <c r="C612" s="194" t="s">
        <v>1344</v>
      </c>
      <c r="D612" s="194" t="s">
        <v>1344</v>
      </c>
    </row>
    <row r="613" spans="1:7" x14ac:dyDescent="0.3">
      <c r="A613" s="275" t="s">
        <v>1595</v>
      </c>
      <c r="B613" s="290" t="s">
        <v>1482</v>
      </c>
      <c r="C613" s="194" t="s">
        <v>1344</v>
      </c>
      <c r="D613" s="194" t="s">
        <v>1344</v>
      </c>
    </row>
    <row r="614" spans="1:7" x14ac:dyDescent="0.3">
      <c r="A614" s="275" t="s">
        <v>1596</v>
      </c>
      <c r="B614" s="290" t="s">
        <v>1484</v>
      </c>
      <c r="C614" s="194" t="s">
        <v>1344</v>
      </c>
      <c r="D614" s="194" t="s">
        <v>1344</v>
      </c>
    </row>
    <row r="615" spans="1:7" x14ac:dyDescent="0.3">
      <c r="A615" s="275" t="s">
        <v>1597</v>
      </c>
      <c r="B615" s="290" t="s">
        <v>1486</v>
      </c>
      <c r="C615" s="194" t="s">
        <v>1344</v>
      </c>
      <c r="D615" s="194" t="s">
        <v>1344</v>
      </c>
    </row>
    <row r="616" spans="1:7" x14ac:dyDescent="0.3">
      <c r="A616" s="275" t="s">
        <v>1598</v>
      </c>
      <c r="B616" s="290" t="s">
        <v>350</v>
      </c>
      <c r="C616" s="194" t="s">
        <v>1344</v>
      </c>
      <c r="D616" s="194" t="s">
        <v>1344</v>
      </c>
    </row>
    <row r="617" spans="1:7" x14ac:dyDescent="0.3">
      <c r="A617" s="275" t="s">
        <v>1599</v>
      </c>
      <c r="B617" s="290" t="s">
        <v>352</v>
      </c>
      <c r="C617" s="194" t="s">
        <v>1344</v>
      </c>
      <c r="D617" s="194" t="s">
        <v>1344</v>
      </c>
    </row>
    <row r="618" spans="1:7" x14ac:dyDescent="0.3">
      <c r="A618" s="275" t="s">
        <v>1600</v>
      </c>
      <c r="B618" s="275" t="s">
        <v>1353</v>
      </c>
      <c r="C618" s="297">
        <v>0</v>
      </c>
      <c r="D618" s="297">
        <v>0</v>
      </c>
      <c r="F618" s="302">
        <v>0</v>
      </c>
      <c r="G618" s="302">
        <v>0</v>
      </c>
    </row>
    <row r="619" spans="1:7" x14ac:dyDescent="0.3">
      <c r="A619" s="275" t="s">
        <v>1601</v>
      </c>
      <c r="B619" s="229"/>
      <c r="C619" s="194" t="s">
        <v>1344</v>
      </c>
      <c r="D619" s="194" t="s">
        <v>1344</v>
      </c>
    </row>
    <row r="620" spans="1:7" x14ac:dyDescent="0.3">
      <c r="A620" s="275" t="s">
        <v>1602</v>
      </c>
      <c r="B620" s="234"/>
    </row>
    <row r="621" spans="1:7" x14ac:dyDescent="0.3">
      <c r="A621" s="275" t="s">
        <v>1603</v>
      </c>
      <c r="B621" s="234"/>
    </row>
    <row r="622" spans="1:7" x14ac:dyDescent="0.3">
      <c r="A622" s="275" t="s">
        <v>1604</v>
      </c>
      <c r="B622" s="234"/>
      <c r="C622" s="194"/>
      <c r="D622" s="194"/>
      <c r="F622" s="198"/>
    </row>
  </sheetData>
  <protectedRanges>
    <protectedRange sqref="E28:G31 C11:D34" name="Optional ECBECAIs_2_4_2_2"/>
    <protectedRange sqref="B16:B26" name="Mortgage Asset I_1"/>
    <protectedRange sqref="B37:B42" name="Mortgage Asset I_1_3"/>
    <protectedRange sqref="B88:B97" name="Mortgage Asset I_1_4"/>
    <protectedRange sqref="B153:B158" name="Mortgage Assets II_1"/>
    <protectedRange sqref="B163:B168" name="Mortgage Assets II_1_1"/>
    <protectedRange sqref="B163:B168" name="Mortgage Asset I_1_5"/>
    <protectedRange sqref="B175:B178" name="Mortgage Assets II_1_2"/>
    <protectedRange sqref="B181:B184" name="Mortgage Assets II_1_3"/>
    <protectedRange sqref="B228:B236" name="Mortgage Asset IV_1"/>
    <protectedRange sqref="B250:B258" name="Mortgage Asset IV_1_1"/>
    <protectedRange sqref="B266:B275" name="Mortgage Asset IV_1_3"/>
    <protectedRange sqref="B280:B285" name="Mortgage Asset IV_1_4"/>
    <protectedRange sqref="B287:B304" name="Mortgage Assets III_1_1"/>
    <protectedRange sqref="B310:B327" name="Mortgage Assets III_1_1_1"/>
    <protectedRange sqref="B375:B383 B385:B392" name="Mortgage Assets III_1_1_2"/>
    <protectedRange sqref="B394:B422" name="Mortgage Asset IV_3_1"/>
    <protectedRange sqref="B428:B451" name="Mortgage Assets III_3"/>
    <protectedRange sqref="B466:B474" name="Mortgage Assets III_3_1"/>
    <protectedRange sqref="B488:B496" name="Mortgage Assets III_3_2"/>
    <protectedRange sqref="B511:B524" name="Mortgage Assets III_3_3"/>
    <protectedRange sqref="B526:B543" name="Mortgage Assets III_2_1"/>
    <protectedRange sqref="B549:B566" name="Mortgage Assets III_2_1_1"/>
    <protectedRange sqref="B604:B618 B620:B621" name="Mortgage Assets III_1_1_3"/>
  </protectedRanges>
  <mergeCells count="1">
    <mergeCell ref="E9:F9"/>
  </mergeCells>
  <hyperlinks>
    <hyperlink ref="B7" location="'B1. HTT Mortgage Assets'!B185" display="7.A Residential Cover Pool" xr:uid="{00000000-0004-0000-0500-000000000000}"/>
    <hyperlink ref="B8" location="'B1. HTT Mortgage Assets'!B423" display="7.B Commercial Cover Pool" xr:uid="{00000000-0004-0000-0500-000001000000}"/>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297F-47BA-40D3-82B5-DC4F5DE19916}">
  <sheetPr>
    <tabColor theme="9" tint="-0.249977111117893"/>
  </sheetPr>
  <dimension ref="A1:G180"/>
  <sheetViews>
    <sheetView zoomScale="80" zoomScaleNormal="80" workbookViewId="0"/>
  </sheetViews>
  <sheetFormatPr baseColWidth="10" defaultColWidth="11.44140625" defaultRowHeight="14.4" x14ac:dyDescent="0.3"/>
  <cols>
    <col min="1" max="1" width="11.44140625" customWidth="1"/>
    <col min="2" max="2" width="67.6640625" customWidth="1"/>
    <col min="3" max="3" width="46.44140625" customWidth="1"/>
    <col min="4" max="4" width="21.33203125" customWidth="1"/>
    <col min="5" max="5" width="11.44140625" customWidth="1"/>
    <col min="6" max="6" width="25.33203125" customWidth="1"/>
    <col min="7" max="7" width="33.6640625" customWidth="1"/>
    <col min="8" max="8" width="11.44140625" customWidth="1"/>
  </cols>
  <sheetData>
    <row r="1" spans="1:7" ht="31.5" customHeight="1" x14ac:dyDescent="0.3">
      <c r="A1" s="171" t="s">
        <v>1605</v>
      </c>
      <c r="B1" s="171"/>
      <c r="C1" s="170"/>
      <c r="D1" s="170"/>
      <c r="E1" s="170"/>
      <c r="F1" s="172" t="str">
        <f>'A. HTT General'!F1</f>
        <v>HTT 2026</v>
      </c>
      <c r="G1" s="170"/>
    </row>
    <row r="2" spans="1:7" ht="15.75" customHeight="1" x14ac:dyDescent="0.3">
      <c r="A2" s="170"/>
      <c r="B2" s="170"/>
      <c r="C2" s="170"/>
      <c r="D2" s="170"/>
      <c r="E2" s="170"/>
      <c r="F2" s="170"/>
      <c r="G2" s="170"/>
    </row>
    <row r="3" spans="1:7" ht="19.5" customHeight="1" x14ac:dyDescent="0.3">
      <c r="A3" s="270"/>
      <c r="B3" s="340" t="s">
        <v>260</v>
      </c>
      <c r="C3" s="154" t="s">
        <v>261</v>
      </c>
      <c r="D3" s="270"/>
      <c r="E3" s="270"/>
      <c r="F3" s="270"/>
      <c r="G3" s="270"/>
    </row>
    <row r="4" spans="1:7" ht="15.75" customHeight="1" x14ac:dyDescent="0.3">
      <c r="A4" s="229"/>
      <c r="B4" s="229"/>
      <c r="C4" s="229"/>
      <c r="D4" s="229"/>
      <c r="E4" s="229"/>
      <c r="F4" s="229"/>
      <c r="G4" s="170"/>
    </row>
    <row r="5" spans="1:7" ht="18.75" customHeight="1" x14ac:dyDescent="0.3">
      <c r="A5" s="229"/>
      <c r="B5" s="341" t="s">
        <v>1606</v>
      </c>
      <c r="C5" s="342"/>
      <c r="D5" s="229"/>
      <c r="E5" s="343"/>
      <c r="F5" s="343"/>
      <c r="G5" s="170"/>
    </row>
    <row r="6" spans="1:7" ht="15.75" customHeight="1" x14ac:dyDescent="0.3">
      <c r="A6" s="229"/>
      <c r="B6" s="11" t="s">
        <v>1607</v>
      </c>
      <c r="C6" s="229"/>
      <c r="D6" s="229"/>
      <c r="E6" s="229"/>
      <c r="F6" s="229"/>
      <c r="G6" s="170"/>
    </row>
    <row r="7" spans="1:7" x14ac:dyDescent="0.3">
      <c r="A7" s="229"/>
      <c r="B7" s="344"/>
      <c r="C7" s="229"/>
      <c r="D7" s="229"/>
      <c r="E7" s="229"/>
      <c r="F7" s="229"/>
      <c r="G7" s="170"/>
    </row>
    <row r="8" spans="1:7" ht="37.5" customHeight="1" x14ac:dyDescent="0.3">
      <c r="A8" s="273" t="s">
        <v>269</v>
      </c>
      <c r="B8" s="273" t="s">
        <v>1607</v>
      </c>
      <c r="C8" s="345"/>
      <c r="D8" s="345"/>
      <c r="E8" s="345"/>
      <c r="F8" s="345"/>
      <c r="G8" s="346"/>
    </row>
    <row r="9" spans="1:7" x14ac:dyDescent="0.3">
      <c r="A9" s="289"/>
      <c r="B9" s="347" t="s">
        <v>1608</v>
      </c>
      <c r="C9" s="289"/>
      <c r="D9" s="289"/>
      <c r="E9" s="289"/>
      <c r="F9" s="348"/>
      <c r="G9" s="348"/>
    </row>
    <row r="10" spans="1:7" x14ac:dyDescent="0.3">
      <c r="A10" s="275" t="s">
        <v>1609</v>
      </c>
      <c r="B10" s="275" t="s">
        <v>1610</v>
      </c>
      <c r="C10" s="229" t="s">
        <v>654</v>
      </c>
      <c r="D10" s="229"/>
      <c r="E10" s="234"/>
      <c r="F10" s="234"/>
      <c r="G10" s="170"/>
    </row>
    <row r="11" spans="1:7" x14ac:dyDescent="0.3">
      <c r="A11" s="275" t="s">
        <v>1611</v>
      </c>
      <c r="B11" s="324" t="s">
        <v>871</v>
      </c>
      <c r="C11" s="229"/>
      <c r="D11" s="229"/>
      <c r="E11" s="234"/>
      <c r="F11" s="234"/>
      <c r="G11" s="170"/>
    </row>
    <row r="12" spans="1:7" x14ac:dyDescent="0.3">
      <c r="A12" s="275" t="s">
        <v>1612</v>
      </c>
      <c r="B12" s="324" t="s">
        <v>873</v>
      </c>
      <c r="C12" s="229"/>
      <c r="D12" s="229"/>
      <c r="E12" s="234"/>
      <c r="F12" s="234"/>
      <c r="G12" s="170"/>
    </row>
    <row r="13" spans="1:7" x14ac:dyDescent="0.3">
      <c r="A13" s="275" t="s">
        <v>1613</v>
      </c>
      <c r="B13" s="229"/>
      <c r="C13" s="229"/>
      <c r="D13" s="229"/>
      <c r="E13" s="234"/>
      <c r="F13" s="234"/>
      <c r="G13" s="170"/>
    </row>
    <row r="14" spans="1:7" x14ac:dyDescent="0.3">
      <c r="A14" s="275" t="s">
        <v>1614</v>
      </c>
      <c r="B14" s="229"/>
      <c r="C14" s="229"/>
      <c r="D14" s="229"/>
      <c r="E14" s="234"/>
      <c r="F14" s="234"/>
      <c r="G14" s="170"/>
    </row>
    <row r="15" spans="1:7" x14ac:dyDescent="0.3">
      <c r="A15" s="275" t="s">
        <v>1615</v>
      </c>
      <c r="B15" s="229"/>
      <c r="C15" s="229"/>
      <c r="D15" s="229"/>
      <c r="E15" s="234"/>
      <c r="F15" s="234"/>
      <c r="G15" s="170"/>
    </row>
    <row r="16" spans="1:7" x14ac:dyDescent="0.3">
      <c r="A16" s="275" t="s">
        <v>1616</v>
      </c>
      <c r="B16" s="229"/>
      <c r="C16" s="229"/>
      <c r="D16" s="229"/>
      <c r="E16" s="234"/>
      <c r="F16" s="234"/>
      <c r="G16" s="170"/>
    </row>
    <row r="17" spans="1:7" x14ac:dyDescent="0.3">
      <c r="A17" s="275" t="s">
        <v>1617</v>
      </c>
      <c r="B17" s="229"/>
      <c r="C17" s="229"/>
      <c r="D17" s="229"/>
      <c r="E17" s="234"/>
      <c r="F17" s="234"/>
      <c r="G17" s="170"/>
    </row>
    <row r="18" spans="1:7" x14ac:dyDescent="0.3">
      <c r="A18" s="289"/>
      <c r="B18" s="289" t="s">
        <v>1618</v>
      </c>
      <c r="C18" s="289" t="s">
        <v>1092</v>
      </c>
      <c r="D18" s="289" t="s">
        <v>1619</v>
      </c>
      <c r="E18" s="289"/>
      <c r="F18" s="289" t="s">
        <v>1620</v>
      </c>
      <c r="G18" s="289" t="s">
        <v>1621</v>
      </c>
    </row>
    <row r="19" spans="1:7" x14ac:dyDescent="0.3">
      <c r="A19" s="275" t="s">
        <v>1622</v>
      </c>
      <c r="B19" s="275" t="s">
        <v>1623</v>
      </c>
      <c r="C19" s="229" t="s">
        <v>654</v>
      </c>
      <c r="D19" s="334"/>
      <c r="E19" s="334"/>
      <c r="F19" s="173"/>
      <c r="G19" s="173"/>
    </row>
    <row r="20" spans="1:7" x14ac:dyDescent="0.3">
      <c r="A20" s="334"/>
      <c r="B20" s="335"/>
      <c r="C20" s="334"/>
      <c r="D20" s="334"/>
      <c r="E20" s="334"/>
      <c r="F20" s="173"/>
      <c r="G20" s="173"/>
    </row>
    <row r="21" spans="1:7" x14ac:dyDescent="0.3">
      <c r="A21" s="229"/>
      <c r="B21" s="275" t="s">
        <v>1096</v>
      </c>
      <c r="C21" s="334"/>
      <c r="D21" s="334"/>
      <c r="E21" s="334"/>
      <c r="F21" s="173"/>
      <c r="G21" s="173"/>
    </row>
    <row r="22" spans="1:7" x14ac:dyDescent="0.3">
      <c r="A22" s="275" t="s">
        <v>1624</v>
      </c>
      <c r="B22" s="232" t="s">
        <v>1229</v>
      </c>
      <c r="C22" s="229" t="s">
        <v>654</v>
      </c>
      <c r="D22" s="229" t="s">
        <v>654</v>
      </c>
      <c r="E22" s="234"/>
      <c r="F22" s="349" t="str">
        <f t="shared" ref="F22:F36" si="0">IF($C$37=0,"",IF(C22="[for completion]","",C22/$C$37))</f>
        <v/>
      </c>
      <c r="G22" s="349" t="str">
        <f t="shared" ref="G22:G36" si="1">IF($D$37=0,"",IF(D22="[for completion]","",D22/$D$37))</f>
        <v/>
      </c>
    </row>
    <row r="23" spans="1:7" x14ac:dyDescent="0.3">
      <c r="A23" s="275" t="s">
        <v>1625</v>
      </c>
      <c r="B23" s="232" t="s">
        <v>1229</v>
      </c>
      <c r="C23" s="229" t="s">
        <v>654</v>
      </c>
      <c r="D23" s="229" t="s">
        <v>654</v>
      </c>
      <c r="E23" s="234"/>
      <c r="F23" s="349" t="str">
        <f t="shared" si="0"/>
        <v/>
      </c>
      <c r="G23" s="349" t="str">
        <f t="shared" si="1"/>
        <v/>
      </c>
    </row>
    <row r="24" spans="1:7" x14ac:dyDescent="0.3">
      <c r="A24" s="275" t="s">
        <v>1626</v>
      </c>
      <c r="B24" s="232" t="s">
        <v>1229</v>
      </c>
      <c r="C24" s="229" t="s">
        <v>654</v>
      </c>
      <c r="D24" s="229" t="s">
        <v>654</v>
      </c>
      <c r="E24" s="229"/>
      <c r="F24" s="349" t="str">
        <f t="shared" si="0"/>
        <v/>
      </c>
      <c r="G24" s="349" t="str">
        <f t="shared" si="1"/>
        <v/>
      </c>
    </row>
    <row r="25" spans="1:7" x14ac:dyDescent="0.3">
      <c r="A25" s="275" t="s">
        <v>1627</v>
      </c>
      <c r="B25" s="232" t="s">
        <v>1229</v>
      </c>
      <c r="C25" s="229" t="s">
        <v>654</v>
      </c>
      <c r="D25" s="229" t="s">
        <v>654</v>
      </c>
      <c r="E25" s="350"/>
      <c r="F25" s="349" t="str">
        <f t="shared" si="0"/>
        <v/>
      </c>
      <c r="G25" s="349" t="str">
        <f t="shared" si="1"/>
        <v/>
      </c>
    </row>
    <row r="26" spans="1:7" x14ac:dyDescent="0.3">
      <c r="A26" s="275" t="s">
        <v>1628</v>
      </c>
      <c r="B26" s="232" t="s">
        <v>1229</v>
      </c>
      <c r="C26" s="229" t="s">
        <v>654</v>
      </c>
      <c r="D26" s="229" t="s">
        <v>654</v>
      </c>
      <c r="E26" s="350"/>
      <c r="F26" s="349" t="str">
        <f t="shared" si="0"/>
        <v/>
      </c>
      <c r="G26" s="349" t="str">
        <f t="shared" si="1"/>
        <v/>
      </c>
    </row>
    <row r="27" spans="1:7" x14ac:dyDescent="0.3">
      <c r="A27" s="275" t="s">
        <v>1629</v>
      </c>
      <c r="B27" s="232" t="s">
        <v>1229</v>
      </c>
      <c r="C27" s="229" t="s">
        <v>654</v>
      </c>
      <c r="D27" s="229" t="s">
        <v>654</v>
      </c>
      <c r="E27" s="350"/>
      <c r="F27" s="349" t="str">
        <f t="shared" si="0"/>
        <v/>
      </c>
      <c r="G27" s="349" t="str">
        <f t="shared" si="1"/>
        <v/>
      </c>
    </row>
    <row r="28" spans="1:7" x14ac:dyDescent="0.3">
      <c r="A28" s="275" t="s">
        <v>1630</v>
      </c>
      <c r="B28" s="232" t="s">
        <v>1229</v>
      </c>
      <c r="C28" s="229" t="s">
        <v>654</v>
      </c>
      <c r="D28" s="229" t="s">
        <v>654</v>
      </c>
      <c r="E28" s="350"/>
      <c r="F28" s="349" t="str">
        <f t="shared" si="0"/>
        <v/>
      </c>
      <c r="G28" s="349" t="str">
        <f t="shared" si="1"/>
        <v/>
      </c>
    </row>
    <row r="29" spans="1:7" x14ac:dyDescent="0.3">
      <c r="A29" s="275" t="s">
        <v>1631</v>
      </c>
      <c r="B29" s="232" t="s">
        <v>1229</v>
      </c>
      <c r="C29" s="229" t="s">
        <v>654</v>
      </c>
      <c r="D29" s="229" t="s">
        <v>654</v>
      </c>
      <c r="E29" s="350"/>
      <c r="F29" s="349" t="str">
        <f t="shared" si="0"/>
        <v/>
      </c>
      <c r="G29" s="349" t="str">
        <f t="shared" si="1"/>
        <v/>
      </c>
    </row>
    <row r="30" spans="1:7" x14ac:dyDescent="0.3">
      <c r="A30" s="275" t="s">
        <v>1632</v>
      </c>
      <c r="B30" s="232" t="s">
        <v>1229</v>
      </c>
      <c r="C30" s="229" t="s">
        <v>654</v>
      </c>
      <c r="D30" s="229" t="s">
        <v>654</v>
      </c>
      <c r="E30" s="350"/>
      <c r="F30" s="349" t="str">
        <f t="shared" si="0"/>
        <v/>
      </c>
      <c r="G30" s="349" t="str">
        <f t="shared" si="1"/>
        <v/>
      </c>
    </row>
    <row r="31" spans="1:7" x14ac:dyDescent="0.3">
      <c r="A31" s="275" t="s">
        <v>1633</v>
      </c>
      <c r="B31" s="232" t="s">
        <v>1229</v>
      </c>
      <c r="C31" s="229" t="s">
        <v>654</v>
      </c>
      <c r="D31" s="229" t="s">
        <v>654</v>
      </c>
      <c r="E31" s="350"/>
      <c r="F31" s="349" t="str">
        <f t="shared" si="0"/>
        <v/>
      </c>
      <c r="G31" s="349" t="str">
        <f t="shared" si="1"/>
        <v/>
      </c>
    </row>
    <row r="32" spans="1:7" x14ac:dyDescent="0.3">
      <c r="A32" s="275" t="s">
        <v>1634</v>
      </c>
      <c r="B32" s="232" t="s">
        <v>1229</v>
      </c>
      <c r="C32" s="229" t="s">
        <v>654</v>
      </c>
      <c r="D32" s="229" t="s">
        <v>654</v>
      </c>
      <c r="E32" s="350"/>
      <c r="F32" s="349" t="str">
        <f t="shared" si="0"/>
        <v/>
      </c>
      <c r="G32" s="349" t="str">
        <f t="shared" si="1"/>
        <v/>
      </c>
    </row>
    <row r="33" spans="1:7" x14ac:dyDescent="0.3">
      <c r="A33" s="275" t="s">
        <v>1635</v>
      </c>
      <c r="B33" s="232" t="s">
        <v>1229</v>
      </c>
      <c r="C33" s="229" t="s">
        <v>654</v>
      </c>
      <c r="D33" s="229" t="s">
        <v>654</v>
      </c>
      <c r="E33" s="350"/>
      <c r="F33" s="349" t="str">
        <f t="shared" si="0"/>
        <v/>
      </c>
      <c r="G33" s="349" t="str">
        <f t="shared" si="1"/>
        <v/>
      </c>
    </row>
    <row r="34" spans="1:7" x14ac:dyDescent="0.3">
      <c r="A34" s="275" t="s">
        <v>1636</v>
      </c>
      <c r="B34" s="232" t="s">
        <v>1229</v>
      </c>
      <c r="C34" s="229" t="s">
        <v>654</v>
      </c>
      <c r="D34" s="229" t="s">
        <v>654</v>
      </c>
      <c r="E34" s="350"/>
      <c r="F34" s="349" t="str">
        <f t="shared" si="0"/>
        <v/>
      </c>
      <c r="G34" s="349" t="str">
        <f t="shared" si="1"/>
        <v/>
      </c>
    </row>
    <row r="35" spans="1:7" x14ac:dyDescent="0.3">
      <c r="A35" s="275" t="s">
        <v>1637</v>
      </c>
      <c r="B35" s="232" t="s">
        <v>1229</v>
      </c>
      <c r="C35" s="229" t="s">
        <v>654</v>
      </c>
      <c r="D35" s="229" t="s">
        <v>654</v>
      </c>
      <c r="E35" s="350"/>
      <c r="F35" s="349" t="str">
        <f t="shared" si="0"/>
        <v/>
      </c>
      <c r="G35" s="349" t="str">
        <f t="shared" si="1"/>
        <v/>
      </c>
    </row>
    <row r="36" spans="1:7" x14ac:dyDescent="0.3">
      <c r="A36" s="275" t="s">
        <v>1638</v>
      </c>
      <c r="B36" s="232" t="s">
        <v>1229</v>
      </c>
      <c r="C36" s="229" t="s">
        <v>654</v>
      </c>
      <c r="D36" s="229" t="s">
        <v>654</v>
      </c>
      <c r="E36" s="350"/>
      <c r="F36" s="349" t="str">
        <f t="shared" si="0"/>
        <v/>
      </c>
      <c r="G36" s="349" t="str">
        <f t="shared" si="1"/>
        <v/>
      </c>
    </row>
    <row r="37" spans="1:7" x14ac:dyDescent="0.3">
      <c r="A37" s="275" t="s">
        <v>1639</v>
      </c>
      <c r="B37" s="295" t="s">
        <v>352</v>
      </c>
      <c r="C37" s="351">
        <f>SUM(C22:C36)</f>
        <v>0</v>
      </c>
      <c r="D37" s="351">
        <f>SUM(D22:D36)</f>
        <v>0</v>
      </c>
      <c r="E37" s="350"/>
      <c r="F37" s="352">
        <f>SUM(F22:F36)</f>
        <v>0</v>
      </c>
      <c r="G37" s="352">
        <f>SUM(G22:G36)</f>
        <v>0</v>
      </c>
    </row>
    <row r="38" spans="1:7" x14ac:dyDescent="0.3">
      <c r="A38" s="289"/>
      <c r="B38" s="347" t="s">
        <v>1640</v>
      </c>
      <c r="C38" s="289" t="s">
        <v>310</v>
      </c>
      <c r="D38" s="289"/>
      <c r="E38" s="353"/>
      <c r="F38" s="289" t="s">
        <v>1620</v>
      </c>
      <c r="G38" s="289"/>
    </row>
    <row r="39" spans="1:7" x14ac:dyDescent="0.3">
      <c r="A39" s="275" t="s">
        <v>1641</v>
      </c>
      <c r="B39" s="290" t="s">
        <v>1642</v>
      </c>
      <c r="C39" s="229" t="s">
        <v>654</v>
      </c>
      <c r="D39" s="229"/>
      <c r="E39" s="354"/>
      <c r="F39" s="349" t="str">
        <f>IF($C$42=0,"",IF(C39="[for completion]","",C39/$C$42))</f>
        <v/>
      </c>
      <c r="G39" s="282"/>
    </row>
    <row r="40" spans="1:7" x14ac:dyDescent="0.3">
      <c r="A40" s="275" t="s">
        <v>1643</v>
      </c>
      <c r="B40" s="290" t="s">
        <v>1644</v>
      </c>
      <c r="C40" s="229" t="s">
        <v>654</v>
      </c>
      <c r="D40" s="229"/>
      <c r="E40" s="354"/>
      <c r="F40" s="349" t="str">
        <f>IF($C$42=0,"",IF(C40="[for completion]","",C40/$C$42))</f>
        <v/>
      </c>
      <c r="G40" s="282"/>
    </row>
    <row r="41" spans="1:7" x14ac:dyDescent="0.3">
      <c r="A41" s="275" t="s">
        <v>1645</v>
      </c>
      <c r="B41" s="290" t="s">
        <v>350</v>
      </c>
      <c r="C41" s="229" t="s">
        <v>654</v>
      </c>
      <c r="D41" s="229"/>
      <c r="E41" s="350"/>
      <c r="F41" s="349" t="str">
        <f>IF($C$42=0,"",IF(C41="[for completion]","",C41/$C$42))</f>
        <v/>
      </c>
      <c r="G41" s="282"/>
    </row>
    <row r="42" spans="1:7" x14ac:dyDescent="0.3">
      <c r="A42" s="275" t="s">
        <v>1646</v>
      </c>
      <c r="B42" s="295" t="s">
        <v>352</v>
      </c>
      <c r="C42" s="351">
        <f>SUM(C39:C41)</f>
        <v>0</v>
      </c>
      <c r="D42" s="234"/>
      <c r="E42" s="350"/>
      <c r="F42" s="352">
        <f>SUM(F39:F41)</f>
        <v>0</v>
      </c>
      <c r="G42" s="282"/>
    </row>
    <row r="43" spans="1:7" x14ac:dyDescent="0.3">
      <c r="A43" s="275" t="s">
        <v>1647</v>
      </c>
      <c r="B43" s="238"/>
      <c r="C43" s="234"/>
      <c r="D43" s="234"/>
      <c r="E43" s="350"/>
      <c r="F43" s="355"/>
      <c r="G43" s="282"/>
    </row>
    <row r="44" spans="1:7" x14ac:dyDescent="0.3">
      <c r="A44" s="275" t="s">
        <v>1648</v>
      </c>
      <c r="B44" s="238"/>
      <c r="C44" s="234"/>
      <c r="D44" s="234"/>
      <c r="E44" s="350"/>
      <c r="F44" s="355"/>
      <c r="G44" s="282"/>
    </row>
    <row r="45" spans="1:7" x14ac:dyDescent="0.3">
      <c r="A45" s="275" t="s">
        <v>1649</v>
      </c>
      <c r="B45" s="234"/>
      <c r="C45" s="229"/>
      <c r="D45" s="229"/>
      <c r="E45" s="350"/>
      <c r="F45" s="356"/>
      <c r="G45" s="282"/>
    </row>
    <row r="46" spans="1:7" x14ac:dyDescent="0.3">
      <c r="A46" s="275" t="s">
        <v>1650</v>
      </c>
      <c r="B46" s="234"/>
      <c r="C46" s="229"/>
      <c r="D46" s="229"/>
      <c r="E46" s="350"/>
      <c r="F46" s="356"/>
      <c r="G46" s="282"/>
    </row>
    <row r="47" spans="1:7" x14ac:dyDescent="0.3">
      <c r="A47" s="275" t="s">
        <v>1651</v>
      </c>
      <c r="B47" s="234"/>
      <c r="C47" s="229"/>
      <c r="D47" s="229"/>
      <c r="E47" s="350"/>
      <c r="F47" s="356"/>
      <c r="G47" s="282"/>
    </row>
    <row r="48" spans="1:7" x14ac:dyDescent="0.3">
      <c r="A48" s="289"/>
      <c r="B48" s="347" t="s">
        <v>890</v>
      </c>
      <c r="C48" s="289" t="s">
        <v>1620</v>
      </c>
      <c r="D48" s="289"/>
      <c r="E48" s="353"/>
      <c r="F48" s="348"/>
      <c r="G48" s="348"/>
    </row>
    <row r="49" spans="1:7" x14ac:dyDescent="0.3">
      <c r="A49" s="275" t="s">
        <v>1652</v>
      </c>
      <c r="B49" s="326" t="s">
        <v>892</v>
      </c>
      <c r="C49" s="357">
        <f>SUM(C50:C83)</f>
        <v>0</v>
      </c>
      <c r="D49" s="229"/>
      <c r="E49" s="229"/>
      <c r="F49" s="229"/>
      <c r="G49" s="229"/>
    </row>
    <row r="50" spans="1:7" x14ac:dyDescent="0.3">
      <c r="A50" s="275" t="s">
        <v>1653</v>
      </c>
      <c r="B50" s="275" t="s">
        <v>894</v>
      </c>
      <c r="C50" s="236" t="s">
        <v>654</v>
      </c>
      <c r="D50" s="229"/>
      <c r="E50" s="229"/>
      <c r="F50" s="229"/>
      <c r="G50" s="229"/>
    </row>
    <row r="51" spans="1:7" x14ac:dyDescent="0.3">
      <c r="A51" s="275" t="s">
        <v>1654</v>
      </c>
      <c r="B51" s="275" t="s">
        <v>896</v>
      </c>
      <c r="C51" s="236" t="s">
        <v>654</v>
      </c>
      <c r="D51" s="229"/>
      <c r="E51" s="229"/>
      <c r="F51" s="229"/>
      <c r="G51" s="229"/>
    </row>
    <row r="52" spans="1:7" x14ac:dyDescent="0.3">
      <c r="A52" s="275" t="s">
        <v>1655</v>
      </c>
      <c r="B52" s="275" t="s">
        <v>898</v>
      </c>
      <c r="C52" s="236" t="s">
        <v>654</v>
      </c>
      <c r="D52" s="229"/>
      <c r="E52" s="229"/>
      <c r="F52" s="229"/>
      <c r="G52" s="229"/>
    </row>
    <row r="53" spans="1:7" x14ac:dyDescent="0.3">
      <c r="A53" s="275" t="s">
        <v>1656</v>
      </c>
      <c r="B53" s="275" t="s">
        <v>900</v>
      </c>
      <c r="C53" s="236" t="s">
        <v>654</v>
      </c>
      <c r="D53" s="229"/>
      <c r="E53" s="229"/>
      <c r="F53" s="229"/>
      <c r="G53" s="229"/>
    </row>
    <row r="54" spans="1:7" x14ac:dyDescent="0.3">
      <c r="A54" s="275" t="s">
        <v>1657</v>
      </c>
      <c r="B54" s="275" t="s">
        <v>902</v>
      </c>
      <c r="C54" s="236" t="s">
        <v>654</v>
      </c>
      <c r="D54" s="229"/>
      <c r="E54" s="229"/>
      <c r="F54" s="229"/>
      <c r="G54" s="229"/>
    </row>
    <row r="55" spans="1:7" x14ac:dyDescent="0.3">
      <c r="A55" s="275" t="s">
        <v>1658</v>
      </c>
      <c r="B55" s="275" t="s">
        <v>904</v>
      </c>
      <c r="C55" s="236" t="s">
        <v>654</v>
      </c>
      <c r="D55" s="229"/>
      <c r="E55" s="229"/>
      <c r="F55" s="229"/>
      <c r="G55" s="229"/>
    </row>
    <row r="56" spans="1:7" x14ac:dyDescent="0.3">
      <c r="A56" s="275" t="s">
        <v>1659</v>
      </c>
      <c r="B56" s="275" t="s">
        <v>906</v>
      </c>
      <c r="C56" s="236" t="s">
        <v>654</v>
      </c>
      <c r="D56" s="229"/>
      <c r="E56" s="229"/>
      <c r="F56" s="229"/>
      <c r="G56" s="229"/>
    </row>
    <row r="57" spans="1:7" x14ac:dyDescent="0.3">
      <c r="A57" s="275" t="s">
        <v>1660</v>
      </c>
      <c r="B57" s="275" t="s">
        <v>908</v>
      </c>
      <c r="C57" s="236" t="s">
        <v>654</v>
      </c>
      <c r="D57" s="229"/>
      <c r="E57" s="229"/>
      <c r="F57" s="229"/>
      <c r="G57" s="229"/>
    </row>
    <row r="58" spans="1:7" x14ac:dyDescent="0.3">
      <c r="A58" s="275" t="s">
        <v>1661</v>
      </c>
      <c r="B58" s="275" t="s">
        <v>910</v>
      </c>
      <c r="C58" s="236" t="s">
        <v>654</v>
      </c>
      <c r="D58" s="229"/>
      <c r="E58" s="229"/>
      <c r="F58" s="229"/>
      <c r="G58" s="229"/>
    </row>
    <row r="59" spans="1:7" x14ac:dyDescent="0.3">
      <c r="A59" s="275" t="s">
        <v>1662</v>
      </c>
      <c r="B59" s="275" t="s">
        <v>163</v>
      </c>
      <c r="C59" s="236" t="s">
        <v>654</v>
      </c>
      <c r="D59" s="229"/>
      <c r="E59" s="229"/>
      <c r="F59" s="229"/>
      <c r="G59" s="229"/>
    </row>
    <row r="60" spans="1:7" x14ac:dyDescent="0.3">
      <c r="A60" s="275" t="s">
        <v>1663</v>
      </c>
      <c r="B60" s="275" t="s">
        <v>913</v>
      </c>
      <c r="C60" s="236" t="s">
        <v>654</v>
      </c>
      <c r="D60" s="229"/>
      <c r="E60" s="229"/>
      <c r="F60" s="229"/>
      <c r="G60" s="229"/>
    </row>
    <row r="61" spans="1:7" x14ac:dyDescent="0.3">
      <c r="A61" s="275" t="s">
        <v>1664</v>
      </c>
      <c r="B61" s="275" t="s">
        <v>915</v>
      </c>
      <c r="C61" s="236" t="s">
        <v>654</v>
      </c>
      <c r="D61" s="229"/>
      <c r="E61" s="229"/>
      <c r="F61" s="229"/>
      <c r="G61" s="229"/>
    </row>
    <row r="62" spans="1:7" x14ac:dyDescent="0.3">
      <c r="A62" s="275" t="s">
        <v>1665</v>
      </c>
      <c r="B62" s="275" t="s">
        <v>917</v>
      </c>
      <c r="C62" s="236" t="s">
        <v>654</v>
      </c>
      <c r="D62" s="229"/>
      <c r="E62" s="229"/>
      <c r="F62" s="229"/>
      <c r="G62" s="229"/>
    </row>
    <row r="63" spans="1:7" x14ac:dyDescent="0.3">
      <c r="A63" s="275" t="s">
        <v>1666</v>
      </c>
      <c r="B63" s="275" t="s">
        <v>919</v>
      </c>
      <c r="C63" s="236" t="s">
        <v>654</v>
      </c>
      <c r="D63" s="229"/>
      <c r="E63" s="229"/>
      <c r="F63" s="229"/>
      <c r="G63" s="229"/>
    </row>
    <row r="64" spans="1:7" x14ac:dyDescent="0.3">
      <c r="A64" s="275" t="s">
        <v>1667</v>
      </c>
      <c r="B64" s="275" t="s">
        <v>921</v>
      </c>
      <c r="C64" s="236" t="s">
        <v>654</v>
      </c>
      <c r="D64" s="229"/>
      <c r="E64" s="229"/>
      <c r="F64" s="229"/>
      <c r="G64" s="229"/>
    </row>
    <row r="65" spans="1:7" x14ac:dyDescent="0.3">
      <c r="A65" s="275" t="s">
        <v>1668</v>
      </c>
      <c r="B65" s="275" t="s">
        <v>923</v>
      </c>
      <c r="C65" s="236" t="s">
        <v>654</v>
      </c>
      <c r="D65" s="229"/>
      <c r="E65" s="229"/>
      <c r="F65" s="229"/>
      <c r="G65" s="229"/>
    </row>
    <row r="66" spans="1:7" x14ac:dyDescent="0.3">
      <c r="A66" s="275" t="s">
        <v>1669</v>
      </c>
      <c r="B66" s="275" t="s">
        <v>925</v>
      </c>
      <c r="C66" s="236" t="s">
        <v>654</v>
      </c>
      <c r="D66" s="229"/>
      <c r="E66" s="229"/>
      <c r="F66" s="229"/>
      <c r="G66" s="229"/>
    </row>
    <row r="67" spans="1:7" x14ac:dyDescent="0.3">
      <c r="A67" s="275" t="s">
        <v>1670</v>
      </c>
      <c r="B67" s="275" t="s">
        <v>927</v>
      </c>
      <c r="C67" s="236" t="s">
        <v>654</v>
      </c>
      <c r="D67" s="229"/>
      <c r="E67" s="229"/>
      <c r="F67" s="229"/>
      <c r="G67" s="229"/>
    </row>
    <row r="68" spans="1:7" x14ac:dyDescent="0.3">
      <c r="A68" s="275" t="s">
        <v>1671</v>
      </c>
      <c r="B68" s="275" t="s">
        <v>929</v>
      </c>
      <c r="C68" s="236" t="s">
        <v>654</v>
      </c>
      <c r="D68" s="229"/>
      <c r="E68" s="229"/>
      <c r="F68" s="229"/>
      <c r="G68" s="229"/>
    </row>
    <row r="69" spans="1:7" x14ac:dyDescent="0.3">
      <c r="A69" s="275" t="s">
        <v>1672</v>
      </c>
      <c r="B69" s="275" t="s">
        <v>931</v>
      </c>
      <c r="C69" s="236" t="s">
        <v>654</v>
      </c>
      <c r="D69" s="229"/>
      <c r="E69" s="229"/>
      <c r="F69" s="229"/>
      <c r="G69" s="229"/>
    </row>
    <row r="70" spans="1:7" x14ac:dyDescent="0.3">
      <c r="A70" s="275" t="s">
        <v>1673</v>
      </c>
      <c r="B70" s="275" t="s">
        <v>933</v>
      </c>
      <c r="C70" s="236" t="s">
        <v>654</v>
      </c>
      <c r="D70" s="229"/>
      <c r="E70" s="229"/>
      <c r="F70" s="229"/>
      <c r="G70" s="229"/>
    </row>
    <row r="71" spans="1:7" x14ac:dyDescent="0.3">
      <c r="A71" s="275" t="s">
        <v>1674</v>
      </c>
      <c r="B71" s="275" t="s">
        <v>935</v>
      </c>
      <c r="C71" s="236" t="s">
        <v>654</v>
      </c>
      <c r="D71" s="229"/>
      <c r="E71" s="229"/>
      <c r="F71" s="229"/>
      <c r="G71" s="229"/>
    </row>
    <row r="72" spans="1:7" x14ac:dyDescent="0.3">
      <c r="A72" s="275" t="s">
        <v>1675</v>
      </c>
      <c r="B72" s="275" t="s">
        <v>937</v>
      </c>
      <c r="C72" s="236" t="s">
        <v>654</v>
      </c>
      <c r="D72" s="229"/>
      <c r="E72" s="229"/>
      <c r="F72" s="229"/>
      <c r="G72" s="229"/>
    </row>
    <row r="73" spans="1:7" x14ac:dyDescent="0.3">
      <c r="A73" s="275" t="s">
        <v>1676</v>
      </c>
      <c r="B73" s="275" t="s">
        <v>939</v>
      </c>
      <c r="C73" s="236" t="s">
        <v>654</v>
      </c>
      <c r="D73" s="229"/>
      <c r="E73" s="229"/>
      <c r="F73" s="229"/>
      <c r="G73" s="229"/>
    </row>
    <row r="74" spans="1:7" x14ac:dyDescent="0.3">
      <c r="A74" s="275" t="s">
        <v>1677</v>
      </c>
      <c r="B74" s="275" t="s">
        <v>941</v>
      </c>
      <c r="C74" s="236" t="s">
        <v>654</v>
      </c>
      <c r="D74" s="229"/>
      <c r="E74" s="229"/>
      <c r="F74" s="229"/>
      <c r="G74" s="229"/>
    </row>
    <row r="75" spans="1:7" x14ac:dyDescent="0.3">
      <c r="A75" s="275" t="s">
        <v>1678</v>
      </c>
      <c r="B75" s="275" t="s">
        <v>943</v>
      </c>
      <c r="C75" s="236" t="s">
        <v>654</v>
      </c>
      <c r="D75" s="229"/>
      <c r="E75" s="229"/>
      <c r="F75" s="229"/>
      <c r="G75" s="229"/>
    </row>
    <row r="76" spans="1:7" x14ac:dyDescent="0.3">
      <c r="A76" s="275" t="s">
        <v>1679</v>
      </c>
      <c r="B76" s="275" t="s">
        <v>945</v>
      </c>
      <c r="C76" s="236" t="s">
        <v>654</v>
      </c>
      <c r="D76" s="229"/>
      <c r="E76" s="229"/>
      <c r="F76" s="229"/>
      <c r="G76" s="229"/>
    </row>
    <row r="77" spans="1:7" x14ac:dyDescent="0.3">
      <c r="A77" s="275" t="s">
        <v>1680</v>
      </c>
      <c r="B77" s="326" t="s">
        <v>564</v>
      </c>
      <c r="C77" s="357">
        <f>SUM(C78:C80)</f>
        <v>0</v>
      </c>
      <c r="D77" s="229"/>
      <c r="E77" s="229"/>
      <c r="F77" s="229"/>
      <c r="G77" s="229"/>
    </row>
    <row r="78" spans="1:7" x14ac:dyDescent="0.3">
      <c r="A78" s="275" t="s">
        <v>1681</v>
      </c>
      <c r="B78" s="275" t="s">
        <v>948</v>
      </c>
      <c r="C78" s="236" t="s">
        <v>654</v>
      </c>
      <c r="D78" s="229"/>
      <c r="E78" s="229"/>
      <c r="F78" s="229"/>
      <c r="G78" s="229"/>
    </row>
    <row r="79" spans="1:7" x14ac:dyDescent="0.3">
      <c r="A79" s="275" t="s">
        <v>1682</v>
      </c>
      <c r="B79" s="275" t="s">
        <v>950</v>
      </c>
      <c r="C79" s="236" t="s">
        <v>654</v>
      </c>
      <c r="D79" s="229"/>
      <c r="E79" s="229"/>
      <c r="F79" s="229"/>
      <c r="G79" s="229"/>
    </row>
    <row r="80" spans="1:7" x14ac:dyDescent="0.3">
      <c r="A80" s="275" t="s">
        <v>1683</v>
      </c>
      <c r="B80" s="275" t="s">
        <v>952</v>
      </c>
      <c r="C80" s="236" t="s">
        <v>654</v>
      </c>
      <c r="D80" s="229"/>
      <c r="E80" s="229"/>
      <c r="F80" s="229"/>
      <c r="G80" s="229"/>
    </row>
    <row r="81" spans="1:7" x14ac:dyDescent="0.3">
      <c r="A81" s="275" t="s">
        <v>1684</v>
      </c>
      <c r="B81" s="326" t="s">
        <v>350</v>
      </c>
      <c r="C81" s="357">
        <f>SUM(C82:C92)</f>
        <v>0</v>
      </c>
      <c r="D81" s="229"/>
      <c r="E81" s="229"/>
      <c r="F81" s="229"/>
      <c r="G81" s="229"/>
    </row>
    <row r="82" spans="1:7" x14ac:dyDescent="0.3">
      <c r="A82" s="275" t="s">
        <v>1685</v>
      </c>
      <c r="B82" s="290" t="s">
        <v>567</v>
      </c>
      <c r="C82" s="236" t="s">
        <v>654</v>
      </c>
      <c r="D82" s="229"/>
      <c r="E82" s="229"/>
      <c r="F82" s="229"/>
      <c r="G82" s="229"/>
    </row>
    <row r="83" spans="1:7" x14ac:dyDescent="0.3">
      <c r="A83" s="275" t="s">
        <v>1686</v>
      </c>
      <c r="B83" s="275" t="s">
        <v>570</v>
      </c>
      <c r="C83" s="236" t="s">
        <v>654</v>
      </c>
      <c r="D83" s="229"/>
      <c r="E83" s="229"/>
      <c r="F83" s="229"/>
      <c r="G83" s="229"/>
    </row>
    <row r="84" spans="1:7" x14ac:dyDescent="0.3">
      <c r="A84" s="275" t="s">
        <v>1687</v>
      </c>
      <c r="B84" s="290" t="s">
        <v>573</v>
      </c>
      <c r="C84" s="236" t="s">
        <v>654</v>
      </c>
      <c r="D84" s="229"/>
      <c r="E84" s="229"/>
      <c r="F84" s="229"/>
      <c r="G84" s="229"/>
    </row>
    <row r="85" spans="1:7" x14ac:dyDescent="0.3">
      <c r="A85" s="275" t="s">
        <v>1688</v>
      </c>
      <c r="B85" s="290" t="s">
        <v>576</v>
      </c>
      <c r="C85" s="236" t="s">
        <v>654</v>
      </c>
      <c r="D85" s="229"/>
      <c r="E85" s="229"/>
      <c r="F85" s="229"/>
      <c r="G85" s="229"/>
    </row>
    <row r="86" spans="1:7" x14ac:dyDescent="0.3">
      <c r="A86" s="275" t="s">
        <v>1689</v>
      </c>
      <c r="B86" s="290" t="s">
        <v>579</v>
      </c>
      <c r="C86" s="236" t="s">
        <v>654</v>
      </c>
      <c r="D86" s="229"/>
      <c r="E86" s="229"/>
      <c r="F86" s="229"/>
      <c r="G86" s="229"/>
    </row>
    <row r="87" spans="1:7" x14ac:dyDescent="0.3">
      <c r="A87" s="275" t="s">
        <v>1690</v>
      </c>
      <c r="B87" s="290" t="s">
        <v>583</v>
      </c>
      <c r="C87" s="236" t="s">
        <v>654</v>
      </c>
      <c r="D87" s="229"/>
      <c r="E87" s="229"/>
      <c r="F87" s="229"/>
      <c r="G87" s="229"/>
    </row>
    <row r="88" spans="1:7" x14ac:dyDescent="0.3">
      <c r="A88" s="275" t="s">
        <v>1691</v>
      </c>
      <c r="B88" s="290" t="s">
        <v>587</v>
      </c>
      <c r="C88" s="236" t="s">
        <v>654</v>
      </c>
      <c r="D88" s="229"/>
      <c r="E88" s="229"/>
      <c r="F88" s="229"/>
      <c r="G88" s="229"/>
    </row>
    <row r="89" spans="1:7" x14ac:dyDescent="0.3">
      <c r="A89" s="275" t="s">
        <v>1692</v>
      </c>
      <c r="B89" s="290" t="s">
        <v>591</v>
      </c>
      <c r="C89" s="236" t="s">
        <v>654</v>
      </c>
      <c r="D89" s="229"/>
      <c r="E89" s="229"/>
      <c r="F89" s="229"/>
      <c r="G89" s="229"/>
    </row>
    <row r="90" spans="1:7" x14ac:dyDescent="0.3">
      <c r="A90" s="275" t="s">
        <v>1693</v>
      </c>
      <c r="B90" s="290" t="s">
        <v>593</v>
      </c>
      <c r="C90" s="236" t="s">
        <v>654</v>
      </c>
      <c r="D90" s="229"/>
      <c r="E90" s="229"/>
      <c r="F90" s="229"/>
      <c r="G90" s="229"/>
    </row>
    <row r="91" spans="1:7" x14ac:dyDescent="0.3">
      <c r="A91" s="275" t="s">
        <v>1694</v>
      </c>
      <c r="B91" s="290" t="s">
        <v>595</v>
      </c>
      <c r="C91" s="236" t="s">
        <v>654</v>
      </c>
      <c r="D91" s="229"/>
      <c r="E91" s="229"/>
      <c r="F91" s="229"/>
      <c r="G91" s="229"/>
    </row>
    <row r="92" spans="1:7" x14ac:dyDescent="0.3">
      <c r="A92" s="275" t="s">
        <v>1695</v>
      </c>
      <c r="B92" s="290" t="s">
        <v>350</v>
      </c>
      <c r="C92" s="236" t="s">
        <v>654</v>
      </c>
      <c r="D92" s="229"/>
      <c r="E92" s="229"/>
      <c r="F92" s="229"/>
      <c r="G92" s="229"/>
    </row>
    <row r="93" spans="1:7" x14ac:dyDescent="0.3">
      <c r="A93" s="275" t="s">
        <v>1696</v>
      </c>
      <c r="B93" s="227" t="s">
        <v>354</v>
      </c>
      <c r="C93" s="236"/>
      <c r="D93" s="229"/>
      <c r="E93" s="229"/>
      <c r="F93" s="229"/>
      <c r="G93" s="229"/>
    </row>
    <row r="94" spans="1:7" x14ac:dyDescent="0.3">
      <c r="A94" s="275" t="s">
        <v>1697</v>
      </c>
      <c r="B94" s="227" t="s">
        <v>354</v>
      </c>
      <c r="C94" s="236"/>
      <c r="D94" s="229"/>
      <c r="E94" s="229"/>
      <c r="F94" s="229"/>
      <c r="G94" s="229"/>
    </row>
    <row r="95" spans="1:7" x14ac:dyDescent="0.3">
      <c r="A95" s="275" t="s">
        <v>1698</v>
      </c>
      <c r="B95" s="227" t="s">
        <v>354</v>
      </c>
      <c r="C95" s="236"/>
      <c r="D95" s="229"/>
      <c r="E95" s="229"/>
      <c r="F95" s="229"/>
      <c r="G95" s="229"/>
    </row>
    <row r="96" spans="1:7" x14ac:dyDescent="0.3">
      <c r="A96" s="275" t="s">
        <v>1699</v>
      </c>
      <c r="B96" s="227" t="s">
        <v>354</v>
      </c>
      <c r="C96" s="236"/>
      <c r="D96" s="229"/>
      <c r="E96" s="229"/>
      <c r="F96" s="229"/>
      <c r="G96" s="229"/>
    </row>
    <row r="97" spans="1:7" x14ac:dyDescent="0.3">
      <c r="A97" s="275" t="s">
        <v>1700</v>
      </c>
      <c r="B97" s="227" t="s">
        <v>354</v>
      </c>
      <c r="C97" s="236"/>
      <c r="D97" s="229"/>
      <c r="E97" s="229"/>
      <c r="F97" s="229"/>
      <c r="G97" s="229"/>
    </row>
    <row r="98" spans="1:7" x14ac:dyDescent="0.3">
      <c r="A98" s="275" t="s">
        <v>1701</v>
      </c>
      <c r="B98" s="227" t="s">
        <v>354</v>
      </c>
      <c r="C98" s="236"/>
      <c r="D98" s="229"/>
      <c r="E98" s="229"/>
      <c r="F98" s="229"/>
      <c r="G98" s="229"/>
    </row>
    <row r="99" spans="1:7" x14ac:dyDescent="0.3">
      <c r="A99" s="275" t="s">
        <v>1702</v>
      </c>
      <c r="B99" s="227" t="s">
        <v>354</v>
      </c>
      <c r="C99" s="236"/>
      <c r="D99" s="229"/>
      <c r="E99" s="229"/>
      <c r="F99" s="229"/>
      <c r="G99" s="229"/>
    </row>
    <row r="100" spans="1:7" x14ac:dyDescent="0.3">
      <c r="A100" s="275" t="s">
        <v>1703</v>
      </c>
      <c r="B100" s="227" t="s">
        <v>354</v>
      </c>
      <c r="C100" s="236"/>
      <c r="D100" s="229"/>
      <c r="E100" s="229"/>
      <c r="F100" s="229"/>
      <c r="G100" s="229"/>
    </row>
    <row r="101" spans="1:7" x14ac:dyDescent="0.3">
      <c r="A101" s="275" t="s">
        <v>1704</v>
      </c>
      <c r="B101" s="227" t="s">
        <v>354</v>
      </c>
      <c r="C101" s="236"/>
      <c r="D101" s="229"/>
      <c r="E101" s="229"/>
      <c r="F101" s="229"/>
      <c r="G101" s="229"/>
    </row>
    <row r="102" spans="1:7" x14ac:dyDescent="0.3">
      <c r="A102" s="275" t="s">
        <v>1705</v>
      </c>
      <c r="B102" s="227" t="s">
        <v>354</v>
      </c>
      <c r="C102" s="236"/>
      <c r="D102" s="229"/>
      <c r="E102" s="229"/>
      <c r="F102" s="229"/>
      <c r="G102" s="229"/>
    </row>
    <row r="103" spans="1:7" x14ac:dyDescent="0.3">
      <c r="A103" s="289"/>
      <c r="B103" s="347" t="s">
        <v>975</v>
      </c>
      <c r="C103" s="358" t="s">
        <v>1620</v>
      </c>
      <c r="D103" s="289"/>
      <c r="E103" s="353"/>
      <c r="F103" s="289"/>
      <c r="G103" s="348"/>
    </row>
    <row r="104" spans="1:7" x14ac:dyDescent="0.3">
      <c r="A104" s="275" t="s">
        <v>1706</v>
      </c>
      <c r="B104" s="234" t="s">
        <v>1229</v>
      </c>
      <c r="C104" s="236" t="s">
        <v>654</v>
      </c>
      <c r="D104" s="229"/>
      <c r="E104" s="229"/>
      <c r="F104" s="229"/>
      <c r="G104" s="229"/>
    </row>
    <row r="105" spans="1:7" x14ac:dyDescent="0.3">
      <c r="A105" s="275" t="s">
        <v>1707</v>
      </c>
      <c r="B105" s="234" t="s">
        <v>1229</v>
      </c>
      <c r="C105" s="236" t="s">
        <v>654</v>
      </c>
      <c r="D105" s="229"/>
      <c r="E105" s="229"/>
      <c r="F105" s="229"/>
      <c r="G105" s="229"/>
    </row>
    <row r="106" spans="1:7" x14ac:dyDescent="0.3">
      <c r="A106" s="275" t="s">
        <v>1708</v>
      </c>
      <c r="B106" s="234" t="s">
        <v>1229</v>
      </c>
      <c r="C106" s="236" t="s">
        <v>654</v>
      </c>
      <c r="D106" s="229"/>
      <c r="E106" s="229"/>
      <c r="F106" s="229"/>
      <c r="G106" s="229"/>
    </row>
    <row r="107" spans="1:7" x14ac:dyDescent="0.3">
      <c r="A107" s="275" t="s">
        <v>1709</v>
      </c>
      <c r="B107" s="234" t="s">
        <v>1229</v>
      </c>
      <c r="C107" s="236" t="s">
        <v>654</v>
      </c>
      <c r="D107" s="229"/>
      <c r="E107" s="229"/>
      <c r="F107" s="229"/>
      <c r="G107" s="229"/>
    </row>
    <row r="108" spans="1:7" x14ac:dyDescent="0.3">
      <c r="A108" s="275" t="s">
        <v>1710</v>
      </c>
      <c r="B108" s="234" t="s">
        <v>1229</v>
      </c>
      <c r="C108" s="236" t="s">
        <v>654</v>
      </c>
      <c r="D108" s="229"/>
      <c r="E108" s="229"/>
      <c r="F108" s="229"/>
      <c r="G108" s="229"/>
    </row>
    <row r="109" spans="1:7" x14ac:dyDescent="0.3">
      <c r="A109" s="275" t="s">
        <v>1711</v>
      </c>
      <c r="B109" s="234" t="s">
        <v>1229</v>
      </c>
      <c r="C109" s="236" t="s">
        <v>654</v>
      </c>
      <c r="D109" s="229"/>
      <c r="E109" s="229"/>
      <c r="F109" s="229"/>
      <c r="G109" s="229"/>
    </row>
    <row r="110" spans="1:7" x14ac:dyDescent="0.3">
      <c r="A110" s="275" t="s">
        <v>1712</v>
      </c>
      <c r="B110" s="234" t="s">
        <v>1229</v>
      </c>
      <c r="C110" s="236" t="s">
        <v>654</v>
      </c>
      <c r="D110" s="229"/>
      <c r="E110" s="229"/>
      <c r="F110" s="229"/>
      <c r="G110" s="229"/>
    </row>
    <row r="111" spans="1:7" x14ac:dyDescent="0.3">
      <c r="A111" s="275" t="s">
        <v>1713</v>
      </c>
      <c r="B111" s="234" t="s">
        <v>1229</v>
      </c>
      <c r="C111" s="236" t="s">
        <v>654</v>
      </c>
      <c r="D111" s="229"/>
      <c r="E111" s="229"/>
      <c r="F111" s="229"/>
      <c r="G111" s="229"/>
    </row>
    <row r="112" spans="1:7" x14ac:dyDescent="0.3">
      <c r="A112" s="275" t="s">
        <v>1714</v>
      </c>
      <c r="B112" s="234" t="s">
        <v>1229</v>
      </c>
      <c r="C112" s="236" t="s">
        <v>654</v>
      </c>
      <c r="D112" s="229"/>
      <c r="E112" s="229"/>
      <c r="F112" s="229"/>
      <c r="G112" s="229"/>
    </row>
    <row r="113" spans="1:7" x14ac:dyDescent="0.3">
      <c r="A113" s="275" t="s">
        <v>1715</v>
      </c>
      <c r="B113" s="234" t="s">
        <v>1229</v>
      </c>
      <c r="C113" s="236" t="s">
        <v>654</v>
      </c>
      <c r="D113" s="229"/>
      <c r="E113" s="229"/>
      <c r="F113" s="229"/>
      <c r="G113" s="229"/>
    </row>
    <row r="114" spans="1:7" x14ac:dyDescent="0.3">
      <c r="A114" s="275" t="s">
        <v>1716</v>
      </c>
      <c r="B114" s="234" t="s">
        <v>1229</v>
      </c>
      <c r="C114" s="236" t="s">
        <v>654</v>
      </c>
      <c r="D114" s="229"/>
      <c r="E114" s="229"/>
      <c r="F114" s="229"/>
      <c r="G114" s="229"/>
    </row>
    <row r="115" spans="1:7" x14ac:dyDescent="0.3">
      <c r="A115" s="275" t="s">
        <v>1717</v>
      </c>
      <c r="B115" s="234" t="s">
        <v>1229</v>
      </c>
      <c r="C115" s="236" t="s">
        <v>654</v>
      </c>
      <c r="D115" s="229"/>
      <c r="E115" s="229"/>
      <c r="F115" s="229"/>
      <c r="G115" s="229"/>
    </row>
    <row r="116" spans="1:7" x14ac:dyDescent="0.3">
      <c r="A116" s="275" t="s">
        <v>1718</v>
      </c>
      <c r="B116" s="234" t="s">
        <v>1229</v>
      </c>
      <c r="C116" s="236" t="s">
        <v>654</v>
      </c>
      <c r="D116" s="229"/>
      <c r="E116" s="229"/>
      <c r="F116" s="229"/>
      <c r="G116" s="229"/>
    </row>
    <row r="117" spans="1:7" x14ac:dyDescent="0.3">
      <c r="A117" s="275" t="s">
        <v>1719</v>
      </c>
      <c r="B117" s="234" t="s">
        <v>1229</v>
      </c>
      <c r="C117" s="236" t="s">
        <v>654</v>
      </c>
      <c r="D117" s="229"/>
      <c r="E117" s="229"/>
      <c r="F117" s="229"/>
      <c r="G117" s="229"/>
    </row>
    <row r="118" spans="1:7" x14ac:dyDescent="0.3">
      <c r="A118" s="275" t="s">
        <v>1720</v>
      </c>
      <c r="B118" s="234" t="s">
        <v>1229</v>
      </c>
      <c r="C118" s="236" t="s">
        <v>654</v>
      </c>
      <c r="D118" s="229"/>
      <c r="E118" s="229"/>
      <c r="F118" s="229"/>
      <c r="G118" s="229"/>
    </row>
    <row r="119" spans="1:7" x14ac:dyDescent="0.3">
      <c r="A119" s="275" t="s">
        <v>1721</v>
      </c>
      <c r="B119" s="234" t="s">
        <v>1229</v>
      </c>
      <c r="C119" s="236" t="s">
        <v>654</v>
      </c>
      <c r="D119" s="229"/>
      <c r="E119" s="229"/>
      <c r="F119" s="229"/>
      <c r="G119" s="229"/>
    </row>
    <row r="120" spans="1:7" x14ac:dyDescent="0.3">
      <c r="A120" s="275" t="s">
        <v>1722</v>
      </c>
      <c r="B120" s="234" t="s">
        <v>1229</v>
      </c>
      <c r="C120" s="236" t="s">
        <v>654</v>
      </c>
      <c r="D120" s="229"/>
      <c r="E120" s="229"/>
      <c r="F120" s="229"/>
      <c r="G120" s="229"/>
    </row>
    <row r="121" spans="1:7" x14ac:dyDescent="0.3">
      <c r="A121" s="275" t="s">
        <v>1723</v>
      </c>
      <c r="B121" s="234" t="s">
        <v>1229</v>
      </c>
      <c r="C121" s="236" t="s">
        <v>654</v>
      </c>
      <c r="D121" s="229"/>
      <c r="E121" s="229"/>
      <c r="F121" s="229"/>
      <c r="G121" s="229"/>
    </row>
    <row r="122" spans="1:7" x14ac:dyDescent="0.3">
      <c r="A122" s="275" t="s">
        <v>1724</v>
      </c>
      <c r="B122" s="234" t="s">
        <v>1229</v>
      </c>
      <c r="C122" s="236" t="s">
        <v>654</v>
      </c>
      <c r="D122" s="229"/>
      <c r="E122" s="229"/>
      <c r="F122" s="229"/>
      <c r="G122" s="229"/>
    </row>
    <row r="123" spans="1:7" x14ac:dyDescent="0.3">
      <c r="A123" s="275" t="s">
        <v>1725</v>
      </c>
      <c r="B123" s="234" t="s">
        <v>1229</v>
      </c>
      <c r="C123" s="236" t="s">
        <v>654</v>
      </c>
      <c r="D123" s="229"/>
      <c r="E123" s="229"/>
      <c r="F123" s="229"/>
      <c r="G123" s="229"/>
    </row>
    <row r="124" spans="1:7" x14ac:dyDescent="0.3">
      <c r="A124" s="275" t="s">
        <v>1726</v>
      </c>
      <c r="B124" s="234" t="s">
        <v>1229</v>
      </c>
      <c r="C124" s="236" t="s">
        <v>654</v>
      </c>
      <c r="D124" s="229"/>
      <c r="E124" s="229"/>
      <c r="F124" s="229"/>
      <c r="G124" s="229"/>
    </row>
    <row r="125" spans="1:7" x14ac:dyDescent="0.3">
      <c r="A125" s="275" t="s">
        <v>1727</v>
      </c>
      <c r="B125" s="234" t="s">
        <v>1229</v>
      </c>
      <c r="C125" s="236" t="s">
        <v>654</v>
      </c>
      <c r="D125" s="229"/>
      <c r="E125" s="229"/>
      <c r="F125" s="229"/>
      <c r="G125" s="229"/>
    </row>
    <row r="126" spans="1:7" x14ac:dyDescent="0.3">
      <c r="A126" s="275" t="s">
        <v>1728</v>
      </c>
      <c r="B126" s="234" t="s">
        <v>1229</v>
      </c>
      <c r="C126" s="236" t="s">
        <v>654</v>
      </c>
      <c r="D126" s="229"/>
      <c r="E126" s="229"/>
      <c r="F126" s="229"/>
      <c r="G126" s="229"/>
    </row>
    <row r="127" spans="1:7" x14ac:dyDescent="0.3">
      <c r="A127" s="275" t="s">
        <v>1729</v>
      </c>
      <c r="B127" s="234" t="s">
        <v>1229</v>
      </c>
      <c r="C127" s="236" t="s">
        <v>654</v>
      </c>
      <c r="D127" s="229"/>
      <c r="E127" s="229"/>
      <c r="F127" s="229"/>
      <c r="G127" s="229"/>
    </row>
    <row r="128" spans="1:7" x14ac:dyDescent="0.3">
      <c r="A128" s="275" t="s">
        <v>1730</v>
      </c>
      <c r="B128" s="234" t="s">
        <v>1229</v>
      </c>
      <c r="C128" s="236" t="s">
        <v>654</v>
      </c>
      <c r="D128" s="229"/>
      <c r="E128" s="229"/>
      <c r="F128" s="229"/>
      <c r="G128" s="229"/>
    </row>
    <row r="129" spans="1:7" x14ac:dyDescent="0.3">
      <c r="A129" s="289"/>
      <c r="B129" s="347" t="s">
        <v>1044</v>
      </c>
      <c r="C129" s="289" t="s">
        <v>1620</v>
      </c>
      <c r="D129" s="289"/>
      <c r="E129" s="289"/>
      <c r="F129" s="348"/>
      <c r="G129" s="348"/>
    </row>
    <row r="130" spans="1:7" x14ac:dyDescent="0.3">
      <c r="A130" s="275" t="s">
        <v>1731</v>
      </c>
      <c r="B130" s="275" t="s">
        <v>1046</v>
      </c>
      <c r="C130" s="236" t="s">
        <v>654</v>
      </c>
    </row>
    <row r="131" spans="1:7" x14ac:dyDescent="0.3">
      <c r="A131" s="275" t="s">
        <v>1732</v>
      </c>
      <c r="B131" s="275" t="s">
        <v>1048</v>
      </c>
      <c r="C131" s="236" t="s">
        <v>654</v>
      </c>
    </row>
    <row r="132" spans="1:7" x14ac:dyDescent="0.3">
      <c r="A132" s="275" t="s">
        <v>1733</v>
      </c>
      <c r="B132" s="275" t="s">
        <v>350</v>
      </c>
      <c r="C132" s="236" t="s">
        <v>654</v>
      </c>
    </row>
    <row r="133" spans="1:7" x14ac:dyDescent="0.3">
      <c r="A133" s="275" t="s">
        <v>1734</v>
      </c>
      <c r="B133" s="229"/>
      <c r="C133" s="236"/>
    </row>
    <row r="134" spans="1:7" x14ac:dyDescent="0.3">
      <c r="A134" s="275" t="s">
        <v>1735</v>
      </c>
      <c r="B134" s="229"/>
      <c r="C134" s="236"/>
    </row>
    <row r="135" spans="1:7" x14ac:dyDescent="0.3">
      <c r="A135" s="275" t="s">
        <v>1736</v>
      </c>
      <c r="B135" s="229"/>
      <c r="C135" s="236"/>
    </row>
    <row r="136" spans="1:7" x14ac:dyDescent="0.3">
      <c r="A136" s="275" t="s">
        <v>1737</v>
      </c>
      <c r="B136" s="229"/>
      <c r="C136" s="236"/>
    </row>
    <row r="137" spans="1:7" x14ac:dyDescent="0.3">
      <c r="A137" s="289"/>
      <c r="B137" s="347" t="s">
        <v>1056</v>
      </c>
      <c r="C137" s="289" t="s">
        <v>1620</v>
      </c>
      <c r="D137" s="289"/>
      <c r="E137" s="289"/>
      <c r="F137" s="348"/>
      <c r="G137" s="348"/>
    </row>
    <row r="138" spans="1:7" x14ac:dyDescent="0.3">
      <c r="A138" s="275" t="s">
        <v>1738</v>
      </c>
      <c r="B138" s="275" t="s">
        <v>1058</v>
      </c>
      <c r="C138" s="236" t="s">
        <v>654</v>
      </c>
      <c r="D138" s="354"/>
      <c r="E138" s="354"/>
      <c r="F138" s="350"/>
      <c r="G138" s="282"/>
    </row>
    <row r="139" spans="1:7" x14ac:dyDescent="0.3">
      <c r="A139" s="275" t="s">
        <v>1739</v>
      </c>
      <c r="B139" s="275" t="s">
        <v>1060</v>
      </c>
      <c r="C139" s="236" t="s">
        <v>654</v>
      </c>
      <c r="D139" s="354"/>
      <c r="E139" s="354"/>
      <c r="F139" s="350"/>
      <c r="G139" s="282"/>
    </row>
    <row r="140" spans="1:7" x14ac:dyDescent="0.3">
      <c r="A140" s="275" t="s">
        <v>1740</v>
      </c>
      <c r="B140" s="275" t="s">
        <v>350</v>
      </c>
      <c r="C140" s="236" t="s">
        <v>654</v>
      </c>
      <c r="D140" s="354"/>
      <c r="E140" s="354"/>
      <c r="F140" s="350"/>
      <c r="G140" s="282"/>
    </row>
    <row r="141" spans="1:7" x14ac:dyDescent="0.3">
      <c r="A141" s="275" t="s">
        <v>1741</v>
      </c>
      <c r="B141" s="229"/>
      <c r="C141" s="236"/>
      <c r="D141" s="354"/>
      <c r="E141" s="354"/>
      <c r="F141" s="350"/>
      <c r="G141" s="282"/>
    </row>
    <row r="142" spans="1:7" x14ac:dyDescent="0.3">
      <c r="A142" s="275" t="s">
        <v>1742</v>
      </c>
      <c r="B142" s="229"/>
      <c r="C142" s="236"/>
      <c r="D142" s="354"/>
      <c r="E142" s="354"/>
      <c r="F142" s="350"/>
      <c r="G142" s="282"/>
    </row>
    <row r="143" spans="1:7" x14ac:dyDescent="0.3">
      <c r="A143" s="275" t="s">
        <v>1743</v>
      </c>
      <c r="B143" s="229"/>
      <c r="C143" s="236"/>
      <c r="D143" s="354"/>
      <c r="E143" s="354"/>
      <c r="F143" s="350"/>
      <c r="G143" s="282"/>
    </row>
    <row r="144" spans="1:7" x14ac:dyDescent="0.3">
      <c r="A144" s="275" t="s">
        <v>1744</v>
      </c>
      <c r="B144" s="229"/>
      <c r="C144" s="236"/>
      <c r="D144" s="354"/>
      <c r="E144" s="354"/>
      <c r="F144" s="350"/>
      <c r="G144" s="282"/>
    </row>
    <row r="145" spans="1:7" x14ac:dyDescent="0.3">
      <c r="A145" s="275" t="s">
        <v>1745</v>
      </c>
      <c r="B145" s="229"/>
      <c r="C145" s="236"/>
      <c r="D145" s="354"/>
      <c r="E145" s="354"/>
      <c r="F145" s="350"/>
      <c r="G145" s="282"/>
    </row>
    <row r="146" spans="1:7" x14ac:dyDescent="0.3">
      <c r="A146" s="275" t="s">
        <v>1746</v>
      </c>
      <c r="B146" s="229"/>
      <c r="C146" s="236"/>
      <c r="D146" s="354"/>
      <c r="E146" s="354"/>
      <c r="F146" s="350"/>
      <c r="G146" s="282"/>
    </row>
    <row r="147" spans="1:7" x14ac:dyDescent="0.3">
      <c r="A147" s="289"/>
      <c r="B147" s="347" t="s">
        <v>1747</v>
      </c>
      <c r="C147" s="289" t="s">
        <v>310</v>
      </c>
      <c r="D147" s="289"/>
      <c r="E147" s="289"/>
      <c r="F147" s="289" t="s">
        <v>1620</v>
      </c>
      <c r="G147" s="348"/>
    </row>
    <row r="148" spans="1:7" x14ac:dyDescent="0.3">
      <c r="A148" s="275" t="s">
        <v>1748</v>
      </c>
      <c r="B148" s="290" t="s">
        <v>1749</v>
      </c>
      <c r="C148" s="229" t="s">
        <v>654</v>
      </c>
      <c r="D148" s="354"/>
      <c r="E148" s="354"/>
      <c r="F148" s="349" t="str">
        <f>IF($C$152=0,"",IF(C148="[for completion]","",C148/$C$152))</f>
        <v/>
      </c>
      <c r="G148" s="282"/>
    </row>
    <row r="149" spans="1:7" x14ac:dyDescent="0.3">
      <c r="A149" s="275" t="s">
        <v>1750</v>
      </c>
      <c r="B149" s="290" t="s">
        <v>1751</v>
      </c>
      <c r="C149" s="229" t="s">
        <v>654</v>
      </c>
      <c r="D149" s="354"/>
      <c r="E149" s="354"/>
      <c r="F149" s="349" t="str">
        <f>IF($C$152=0,"",IF(C149="[for completion]","",C149/$C$152))</f>
        <v/>
      </c>
      <c r="G149" s="282"/>
    </row>
    <row r="150" spans="1:7" x14ac:dyDescent="0.3">
      <c r="A150" s="275" t="s">
        <v>1752</v>
      </c>
      <c r="B150" s="290" t="s">
        <v>1753</v>
      </c>
      <c r="C150" s="229" t="s">
        <v>654</v>
      </c>
      <c r="D150" s="354"/>
      <c r="E150" s="354"/>
      <c r="F150" s="349" t="str">
        <f>IF($C$152=0,"",IF(C150="[for completion]","",C150/$C$152))</f>
        <v/>
      </c>
      <c r="G150" s="282"/>
    </row>
    <row r="151" spans="1:7" x14ac:dyDescent="0.3">
      <c r="A151" s="275" t="s">
        <v>1754</v>
      </c>
      <c r="B151" s="290" t="s">
        <v>1755</v>
      </c>
      <c r="C151" s="229" t="s">
        <v>654</v>
      </c>
      <c r="D151" s="354"/>
      <c r="E151" s="354"/>
      <c r="F151" s="349" t="str">
        <f>IF($C$152=0,"",IF(C151="[for completion]","",C151/$C$152))</f>
        <v/>
      </c>
      <c r="G151" s="282"/>
    </row>
    <row r="152" spans="1:7" x14ac:dyDescent="0.3">
      <c r="A152" s="275" t="s">
        <v>1756</v>
      </c>
      <c r="B152" s="295" t="s">
        <v>352</v>
      </c>
      <c r="C152" s="351">
        <f>SUM(C148:C151)</f>
        <v>0</v>
      </c>
      <c r="D152" s="354"/>
      <c r="E152" s="354"/>
      <c r="F152" s="359">
        <f>SUM(F148:F151)</f>
        <v>0</v>
      </c>
      <c r="G152" s="282"/>
    </row>
    <row r="153" spans="1:7" x14ac:dyDescent="0.3">
      <c r="A153" s="275" t="s">
        <v>1757</v>
      </c>
      <c r="B153" s="324" t="s">
        <v>1758</v>
      </c>
      <c r="C153" s="229"/>
      <c r="D153" s="354"/>
      <c r="E153" s="354"/>
      <c r="F153" s="356" t="str">
        <f t="shared" ref="F153:F159" si="2">IF($C$152=0,"",IF(C153="[for completion]","",C153/$C$152))</f>
        <v/>
      </c>
      <c r="G153" s="282"/>
    </row>
    <row r="154" spans="1:7" x14ac:dyDescent="0.3">
      <c r="A154" s="275" t="s">
        <v>1759</v>
      </c>
      <c r="B154" s="324" t="s">
        <v>1760</v>
      </c>
      <c r="C154" s="229"/>
      <c r="D154" s="354"/>
      <c r="E154" s="354"/>
      <c r="F154" s="356" t="str">
        <f t="shared" si="2"/>
        <v/>
      </c>
      <c r="G154" s="282"/>
    </row>
    <row r="155" spans="1:7" x14ac:dyDescent="0.3">
      <c r="A155" s="275" t="s">
        <v>1761</v>
      </c>
      <c r="B155" s="324" t="s">
        <v>1762</v>
      </c>
      <c r="C155" s="229"/>
      <c r="D155" s="354"/>
      <c r="E155" s="354"/>
      <c r="F155" s="356" t="str">
        <f t="shared" si="2"/>
        <v/>
      </c>
      <c r="G155" s="282"/>
    </row>
    <row r="156" spans="1:7" x14ac:dyDescent="0.3">
      <c r="A156" s="275" t="s">
        <v>1763</v>
      </c>
      <c r="B156" s="324" t="s">
        <v>1764</v>
      </c>
      <c r="C156" s="229"/>
      <c r="D156" s="354"/>
      <c r="E156" s="354"/>
      <c r="F156" s="356" t="str">
        <f t="shared" si="2"/>
        <v/>
      </c>
      <c r="G156" s="282"/>
    </row>
    <row r="157" spans="1:7" x14ac:dyDescent="0.3">
      <c r="A157" s="275" t="s">
        <v>1765</v>
      </c>
      <c r="B157" s="324" t="s">
        <v>1766</v>
      </c>
      <c r="C157" s="229"/>
      <c r="D157" s="354"/>
      <c r="E157" s="354"/>
      <c r="F157" s="356" t="str">
        <f t="shared" si="2"/>
        <v/>
      </c>
      <c r="G157" s="282"/>
    </row>
    <row r="158" spans="1:7" x14ac:dyDescent="0.3">
      <c r="A158" s="275" t="s">
        <v>1767</v>
      </c>
      <c r="B158" s="324" t="s">
        <v>1768</v>
      </c>
      <c r="C158" s="229"/>
      <c r="D158" s="354"/>
      <c r="E158" s="354"/>
      <c r="F158" s="356" t="str">
        <f t="shared" si="2"/>
        <v/>
      </c>
      <c r="G158" s="282"/>
    </row>
    <row r="159" spans="1:7" x14ac:dyDescent="0.3">
      <c r="A159" s="275" t="s">
        <v>1769</v>
      </c>
      <c r="B159" s="324" t="s">
        <v>1770</v>
      </c>
      <c r="C159" s="229"/>
      <c r="D159" s="354"/>
      <c r="E159" s="354"/>
      <c r="F159" s="356" t="str">
        <f t="shared" si="2"/>
        <v/>
      </c>
      <c r="G159" s="282"/>
    </row>
    <row r="160" spans="1:7" x14ac:dyDescent="0.3">
      <c r="A160" s="275" t="s">
        <v>1771</v>
      </c>
      <c r="B160" s="233"/>
      <c r="C160" s="229"/>
      <c r="D160" s="354"/>
      <c r="E160" s="354"/>
      <c r="F160" s="356"/>
      <c r="G160" s="282"/>
    </row>
    <row r="161" spans="1:7" x14ac:dyDescent="0.3">
      <c r="A161" s="275" t="s">
        <v>1772</v>
      </c>
      <c r="B161" s="233"/>
      <c r="C161" s="229"/>
      <c r="D161" s="354"/>
      <c r="E161" s="354"/>
      <c r="F161" s="356"/>
      <c r="G161" s="282"/>
    </row>
    <row r="162" spans="1:7" x14ac:dyDescent="0.3">
      <c r="A162" s="275" t="s">
        <v>1773</v>
      </c>
      <c r="B162" s="233"/>
      <c r="C162" s="229"/>
      <c r="D162" s="354"/>
      <c r="E162" s="354"/>
      <c r="F162" s="356"/>
      <c r="G162" s="282"/>
    </row>
    <row r="163" spans="1:7" x14ac:dyDescent="0.3">
      <c r="A163" s="275" t="s">
        <v>1774</v>
      </c>
      <c r="B163" s="233"/>
      <c r="C163" s="229"/>
      <c r="D163" s="354"/>
      <c r="E163" s="354"/>
      <c r="F163" s="356"/>
      <c r="G163" s="282"/>
    </row>
    <row r="164" spans="1:7" x14ac:dyDescent="0.3">
      <c r="A164" s="275" t="s">
        <v>1775</v>
      </c>
      <c r="B164" s="234"/>
      <c r="C164" s="229"/>
      <c r="D164" s="354"/>
      <c r="E164" s="354"/>
      <c r="F164" s="356"/>
      <c r="G164" s="282"/>
    </row>
    <row r="165" spans="1:7" x14ac:dyDescent="0.3">
      <c r="A165" s="275" t="s">
        <v>1776</v>
      </c>
      <c r="B165" s="360"/>
      <c r="C165" s="361"/>
      <c r="D165" s="361"/>
      <c r="E165" s="361"/>
      <c r="F165" s="356"/>
      <c r="G165" s="282"/>
    </row>
    <row r="166" spans="1:7" x14ac:dyDescent="0.3">
      <c r="A166" s="289"/>
      <c r="B166" s="347" t="s">
        <v>1777</v>
      </c>
      <c r="C166" s="289" t="s">
        <v>1620</v>
      </c>
      <c r="D166" s="289"/>
      <c r="E166" s="289"/>
      <c r="F166" s="348"/>
      <c r="G166" s="348"/>
    </row>
    <row r="167" spans="1:7" x14ac:dyDescent="0.3">
      <c r="A167" s="275" t="s">
        <v>1778</v>
      </c>
      <c r="B167" s="275" t="s">
        <v>1085</v>
      </c>
      <c r="C167" s="236" t="s">
        <v>654</v>
      </c>
      <c r="E167" s="170"/>
      <c r="F167" s="170"/>
    </row>
    <row r="168" spans="1:7" x14ac:dyDescent="0.3">
      <c r="A168" s="275" t="s">
        <v>1779</v>
      </c>
      <c r="B168" s="330" t="s">
        <v>1087</v>
      </c>
      <c r="C168" s="229"/>
      <c r="E168" s="170"/>
      <c r="F168" s="170"/>
    </row>
    <row r="169" spans="1:7" x14ac:dyDescent="0.3">
      <c r="A169" s="275" t="s">
        <v>1780</v>
      </c>
      <c r="B169" s="229"/>
      <c r="C169" s="229"/>
      <c r="E169" s="170"/>
      <c r="F169" s="170"/>
    </row>
    <row r="170" spans="1:7" x14ac:dyDescent="0.3">
      <c r="A170" s="275" t="s">
        <v>1781</v>
      </c>
      <c r="B170" s="229"/>
      <c r="C170" s="229"/>
      <c r="E170" s="170"/>
      <c r="F170" s="170"/>
    </row>
    <row r="171" spans="1:7" x14ac:dyDescent="0.3">
      <c r="A171" s="275" t="s">
        <v>1782</v>
      </c>
      <c r="B171" s="229"/>
      <c r="C171" s="229"/>
      <c r="E171" s="170"/>
      <c r="F171" s="170"/>
    </row>
    <row r="172" spans="1:7" x14ac:dyDescent="0.3">
      <c r="A172" s="289"/>
      <c r="B172" s="347" t="s">
        <v>1783</v>
      </c>
      <c r="C172" s="289" t="s">
        <v>1620</v>
      </c>
      <c r="D172" s="289"/>
      <c r="E172" s="289"/>
      <c r="F172" s="348"/>
      <c r="G172" s="348"/>
    </row>
    <row r="173" spans="1:7" x14ac:dyDescent="0.3">
      <c r="A173" s="275" t="s">
        <v>1784</v>
      </c>
      <c r="B173" s="275" t="s">
        <v>1785</v>
      </c>
      <c r="C173" s="236" t="s">
        <v>654</v>
      </c>
    </row>
    <row r="174" spans="1:7" x14ac:dyDescent="0.3">
      <c r="A174" s="275" t="s">
        <v>1786</v>
      </c>
      <c r="B174" s="229"/>
      <c r="C174" s="229"/>
    </row>
    <row r="175" spans="1:7" x14ac:dyDescent="0.3">
      <c r="A175" s="275" t="s">
        <v>1787</v>
      </c>
      <c r="B175" s="229"/>
      <c r="C175" s="229"/>
    </row>
    <row r="176" spans="1:7" x14ac:dyDescent="0.3">
      <c r="A176" s="275" t="s">
        <v>1788</v>
      </c>
      <c r="B176" s="229"/>
      <c r="C176" s="229"/>
    </row>
    <row r="177" spans="1:7" x14ac:dyDescent="0.3">
      <c r="A177" s="275" t="s">
        <v>1789</v>
      </c>
      <c r="B177" s="229"/>
      <c r="C177" s="229"/>
    </row>
    <row r="178" spans="1:7" x14ac:dyDescent="0.3">
      <c r="A178" s="275" t="s">
        <v>1790</v>
      </c>
      <c r="B178" s="229"/>
      <c r="C178" s="229"/>
      <c r="D178" s="229"/>
      <c r="E178" s="229"/>
      <c r="F178" s="229"/>
      <c r="G178" s="170"/>
    </row>
    <row r="179" spans="1:7" x14ac:dyDescent="0.3">
      <c r="A179" s="275" t="s">
        <v>1791</v>
      </c>
      <c r="B179" s="229"/>
      <c r="C179" s="229"/>
      <c r="D179" s="229"/>
      <c r="E179" s="229"/>
      <c r="F179" s="229"/>
      <c r="G179" s="170"/>
    </row>
    <row r="180" spans="1:7" x14ac:dyDescent="0.3">
      <c r="A180" s="229"/>
      <c r="B180" s="229"/>
      <c r="C180" s="229"/>
      <c r="D180" s="229"/>
      <c r="E180" s="229"/>
      <c r="F180" s="229"/>
      <c r="G180" s="170"/>
    </row>
  </sheetData>
  <protectedRanges>
    <protectedRange sqref="C3 C10:C17 F19:G19 F39:F41 C43:C47 F43:F47 C78:C80 C138:C146 C153:C165 C19:D19 C22:D36 C39:C41 C148:C151 B104:C128 C130:C136 C82:C102 C50:C76" name="Public Sector Assets"/>
    <protectedRange sqref="C167:C171" name="NPLs"/>
    <protectedRange sqref="C173:C179" name="Concentration Risks"/>
    <protectedRange sqref="B11:B17" name="Public Sector Assets_1"/>
    <protectedRange sqref="B22:B36" name="Public Sector Assets_1_1"/>
    <protectedRange sqref="B43:B47" name="Public Sector Assets_1_2"/>
    <protectedRange sqref="B78:B80 B82:B102 B50:B76" name="Public Sector Assets_1_3"/>
    <protectedRange sqref="B133:B136" name="Public Sector Assets_1_4"/>
    <protectedRange sqref="B141:B146" name="Public Sector Assets_1_5"/>
    <protectedRange sqref="B153:B165" name="Public Sector Assets_1_6"/>
    <protectedRange sqref="B169:B171" name="NPLs_1"/>
    <protectedRange sqref="B168" name="Mortgage Assets II_1"/>
    <protectedRange sqref="B174:B179" name="Concentration Risks_1"/>
  </protectedRanges>
  <hyperlinks>
    <hyperlink ref="B6" location="'B2. HTT Public Sector Assets'!B8" display="8. Public Sector Assets" xr:uid="{00000000-0004-0000-0600-000000000000}"/>
    <hyperlink ref="B129" location="'2. Harmonised Glossary'!A9" display="6. Breakdown by Interest Rate" xr:uid="{00000000-0004-0000-0600-000001000000}"/>
    <hyperlink ref="B166" location="'2. Harmonised Glossary'!A14" display="9. Non-Performing Loans" xr:uid="{00000000-0004-0000-0600-000002000000}"/>
  </hyperlinks>
  <pageMargins left="0.7" right="0.7" top="0.75" bottom="0.75" header="0.3" footer="0.3"/>
  <pageSetup paperSize="9"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E59E-54BB-49F0-B381-3DA0A552FEA9}">
  <sheetPr>
    <tabColor theme="9" tint="-0.249977111117893"/>
  </sheetPr>
  <dimension ref="A1:G257"/>
  <sheetViews>
    <sheetView topLeftCell="A5" zoomScale="80" zoomScaleNormal="80" workbookViewId="0">
      <selection activeCell="F179" sqref="F179 F179:G179"/>
    </sheetView>
  </sheetViews>
  <sheetFormatPr baseColWidth="10" defaultColWidth="11.44140625" defaultRowHeight="14.4" x14ac:dyDescent="0.3"/>
  <cols>
    <col min="1" max="1" width="11.44140625" customWidth="1"/>
    <col min="2" max="2" width="50.5546875" customWidth="1"/>
    <col min="3" max="3" width="32.44140625" customWidth="1"/>
    <col min="4" max="4" width="26.33203125" customWidth="1"/>
    <col min="5" max="5" width="11.44140625" customWidth="1"/>
    <col min="6" max="6" width="20.33203125" customWidth="1"/>
    <col min="7" max="7" width="17.5546875" customWidth="1"/>
    <col min="8" max="8" width="11.44140625" customWidth="1"/>
  </cols>
  <sheetData>
    <row r="1" spans="1:7" ht="31.5" customHeight="1" x14ac:dyDescent="0.3">
      <c r="A1" s="362" t="s">
        <v>1792</v>
      </c>
      <c r="B1" s="171"/>
      <c r="C1" s="170"/>
      <c r="D1" s="170"/>
      <c r="E1" s="170"/>
      <c r="F1" s="172" t="str">
        <f>'A. HTT General'!F1</f>
        <v>HTT 2026</v>
      </c>
      <c r="G1" s="170"/>
    </row>
    <row r="2" spans="1:7" ht="15.75" customHeight="1" x14ac:dyDescent="0.3">
      <c r="A2" s="170"/>
      <c r="B2" s="170"/>
      <c r="C2" s="170"/>
      <c r="D2" s="170"/>
      <c r="E2" s="170"/>
      <c r="F2" s="170"/>
      <c r="G2" s="170"/>
    </row>
    <row r="3" spans="1:7" ht="19.5" customHeight="1" x14ac:dyDescent="0.3">
      <c r="A3" s="270"/>
      <c r="B3" s="340" t="s">
        <v>260</v>
      </c>
      <c r="C3" s="154" t="s">
        <v>261</v>
      </c>
      <c r="D3" s="270"/>
      <c r="E3" s="270"/>
      <c r="F3" s="270"/>
      <c r="G3" s="270"/>
    </row>
    <row r="4" spans="1:7" ht="15.75" customHeight="1" x14ac:dyDescent="0.3">
      <c r="A4" s="229"/>
      <c r="B4" s="229"/>
      <c r="C4" s="229"/>
      <c r="D4" s="229"/>
      <c r="E4" s="229"/>
      <c r="F4" s="229"/>
      <c r="G4" s="170"/>
    </row>
    <row r="5" spans="1:7" ht="19.5" customHeight="1" x14ac:dyDescent="0.3">
      <c r="A5" s="342"/>
      <c r="B5" s="363" t="s">
        <v>1793</v>
      </c>
      <c r="C5" s="342"/>
      <c r="D5" s="229"/>
      <c r="E5" s="343"/>
      <c r="F5" s="343"/>
      <c r="G5" s="170"/>
    </row>
    <row r="6" spans="1:7" ht="15.75" customHeight="1" x14ac:dyDescent="0.3">
      <c r="A6" s="229"/>
      <c r="B6" s="153" t="s">
        <v>1794</v>
      </c>
      <c r="C6" s="229"/>
      <c r="D6" s="229"/>
      <c r="E6" s="229"/>
      <c r="F6" s="229"/>
      <c r="G6" s="170"/>
    </row>
    <row r="7" spans="1:7" x14ac:dyDescent="0.3">
      <c r="A7" s="229"/>
      <c r="B7" s="364"/>
      <c r="C7" s="229"/>
      <c r="D7" s="229"/>
      <c r="E7" s="229"/>
      <c r="F7" s="229"/>
      <c r="G7" s="170"/>
    </row>
    <row r="8" spans="1:7" ht="37.5" customHeight="1" x14ac:dyDescent="0.3">
      <c r="A8" s="273" t="s">
        <v>269</v>
      </c>
      <c r="B8" s="273" t="s">
        <v>1794</v>
      </c>
      <c r="C8" s="345"/>
      <c r="D8" s="345"/>
      <c r="E8" s="345"/>
      <c r="F8" s="345"/>
      <c r="G8" s="346"/>
    </row>
    <row r="9" spans="1:7" x14ac:dyDescent="0.3">
      <c r="A9" s="289"/>
      <c r="B9" s="347" t="s">
        <v>1608</v>
      </c>
      <c r="C9" s="289" t="s">
        <v>1795</v>
      </c>
      <c r="D9" s="289"/>
      <c r="E9" s="353"/>
      <c r="F9" s="289"/>
      <c r="G9" s="348"/>
    </row>
    <row r="10" spans="1:7" x14ac:dyDescent="0.3">
      <c r="A10" s="275" t="s">
        <v>1796</v>
      </c>
      <c r="B10" s="275" t="s">
        <v>1797</v>
      </c>
      <c r="C10" s="229" t="s">
        <v>654</v>
      </c>
      <c r="D10" s="229"/>
      <c r="E10" s="229"/>
      <c r="F10" s="229"/>
      <c r="G10" s="170"/>
    </row>
    <row r="11" spans="1:7" x14ac:dyDescent="0.3">
      <c r="A11" s="275" t="s">
        <v>1798</v>
      </c>
      <c r="B11" s="293" t="s">
        <v>871</v>
      </c>
      <c r="C11" s="229"/>
      <c r="D11" s="229"/>
      <c r="E11" s="229"/>
      <c r="F11" s="229"/>
      <c r="G11" s="170"/>
    </row>
    <row r="12" spans="1:7" x14ac:dyDescent="0.3">
      <c r="A12" s="275" t="s">
        <v>1799</v>
      </c>
      <c r="B12" s="293" t="s">
        <v>873</v>
      </c>
      <c r="C12" s="229"/>
      <c r="D12" s="229"/>
      <c r="E12" s="229"/>
      <c r="F12" s="229"/>
      <c r="G12" s="170"/>
    </row>
    <row r="13" spans="1:7" x14ac:dyDescent="0.3">
      <c r="A13" s="275" t="s">
        <v>1800</v>
      </c>
      <c r="B13" s="228"/>
      <c r="C13" s="229"/>
      <c r="D13" s="229"/>
      <c r="E13" s="229"/>
      <c r="F13" s="229"/>
      <c r="G13" s="170"/>
    </row>
    <row r="14" spans="1:7" x14ac:dyDescent="0.3">
      <c r="A14" s="275" t="s">
        <v>1801</v>
      </c>
      <c r="B14" s="228"/>
      <c r="C14" s="229"/>
      <c r="D14" s="229"/>
      <c r="E14" s="229"/>
      <c r="F14" s="229"/>
      <c r="G14" s="170"/>
    </row>
    <row r="15" spans="1:7" x14ac:dyDescent="0.3">
      <c r="A15" s="275" t="s">
        <v>1802</v>
      </c>
      <c r="B15" s="228"/>
      <c r="C15" s="229"/>
      <c r="D15" s="229"/>
      <c r="E15" s="229"/>
      <c r="F15" s="229"/>
      <c r="G15" s="170"/>
    </row>
    <row r="16" spans="1:7" x14ac:dyDescent="0.3">
      <c r="A16" s="275" t="s">
        <v>1803</v>
      </c>
      <c r="B16" s="228"/>
      <c r="C16" s="229"/>
      <c r="D16" s="229"/>
      <c r="E16" s="229"/>
      <c r="F16" s="229"/>
      <c r="G16" s="170"/>
    </row>
    <row r="17" spans="1:7" x14ac:dyDescent="0.3">
      <c r="A17" s="289"/>
      <c r="B17" s="347" t="s">
        <v>1804</v>
      </c>
      <c r="C17" s="289" t="s">
        <v>1805</v>
      </c>
      <c r="D17" s="289"/>
      <c r="E17" s="353"/>
      <c r="F17" s="348"/>
      <c r="G17" s="348"/>
    </row>
    <row r="18" spans="1:7" x14ac:dyDescent="0.3">
      <c r="A18" s="275" t="s">
        <v>1806</v>
      </c>
      <c r="B18" s="275" t="s">
        <v>883</v>
      </c>
      <c r="C18" s="236" t="s">
        <v>654</v>
      </c>
      <c r="D18" s="229"/>
      <c r="E18" s="229"/>
      <c r="F18" s="229"/>
      <c r="G18" s="170"/>
    </row>
    <row r="19" spans="1:7" x14ac:dyDescent="0.3">
      <c r="A19" s="275" t="s">
        <v>1807</v>
      </c>
      <c r="B19" s="229"/>
      <c r="C19" s="236"/>
      <c r="D19" s="229"/>
      <c r="E19" s="229"/>
      <c r="F19" s="229"/>
      <c r="G19" s="170"/>
    </row>
    <row r="20" spans="1:7" x14ac:dyDescent="0.3">
      <c r="A20" s="275" t="s">
        <v>1808</v>
      </c>
      <c r="B20" s="229"/>
      <c r="C20" s="236"/>
      <c r="D20" s="229"/>
      <c r="E20" s="229"/>
      <c r="F20" s="229"/>
      <c r="G20" s="170"/>
    </row>
    <row r="21" spans="1:7" x14ac:dyDescent="0.3">
      <c r="A21" s="275" t="s">
        <v>1809</v>
      </c>
      <c r="B21" s="229"/>
      <c r="C21" s="236"/>
      <c r="D21" s="229"/>
      <c r="E21" s="229"/>
      <c r="F21" s="229"/>
      <c r="G21" s="170"/>
    </row>
    <row r="22" spans="1:7" x14ac:dyDescent="0.3">
      <c r="A22" s="275" t="s">
        <v>1810</v>
      </c>
      <c r="B22" s="229"/>
      <c r="C22" s="236"/>
      <c r="D22" s="229"/>
      <c r="E22" s="229"/>
      <c r="F22" s="229"/>
      <c r="G22" s="170"/>
    </row>
    <row r="23" spans="1:7" x14ac:dyDescent="0.3">
      <c r="A23" s="275" t="s">
        <v>1811</v>
      </c>
      <c r="B23" s="229"/>
      <c r="C23" s="236"/>
      <c r="D23" s="229"/>
      <c r="E23" s="229"/>
      <c r="F23" s="229"/>
      <c r="G23" s="170"/>
    </row>
    <row r="24" spans="1:7" x14ac:dyDescent="0.3">
      <c r="A24" s="275" t="s">
        <v>1812</v>
      </c>
      <c r="B24" s="229"/>
      <c r="C24" s="236"/>
      <c r="D24" s="229"/>
      <c r="E24" s="229"/>
      <c r="F24" s="229"/>
      <c r="G24" s="170"/>
    </row>
    <row r="25" spans="1:7" x14ac:dyDescent="0.3">
      <c r="A25" s="289"/>
      <c r="B25" s="347" t="s">
        <v>1813</v>
      </c>
      <c r="C25" s="289" t="s">
        <v>1805</v>
      </c>
      <c r="D25" s="289"/>
      <c r="E25" s="353"/>
      <c r="F25" s="348"/>
      <c r="G25" s="348"/>
    </row>
    <row r="26" spans="1:7" x14ac:dyDescent="0.3">
      <c r="A26" s="275" t="s">
        <v>1814</v>
      </c>
      <c r="B26" s="326" t="s">
        <v>892</v>
      </c>
      <c r="C26" s="357">
        <f>SUM(C27:C60)</f>
        <v>0</v>
      </c>
      <c r="D26" s="365"/>
      <c r="E26" s="229"/>
      <c r="F26" s="365"/>
      <c r="G26" s="229"/>
    </row>
    <row r="27" spans="1:7" x14ac:dyDescent="0.3">
      <c r="A27" s="275" t="s">
        <v>1815</v>
      </c>
      <c r="B27" s="275" t="s">
        <v>894</v>
      </c>
      <c r="C27" s="236" t="s">
        <v>654</v>
      </c>
      <c r="D27" s="365"/>
      <c r="E27" s="229"/>
      <c r="F27" s="365"/>
      <c r="G27" s="229"/>
    </row>
    <row r="28" spans="1:7" x14ac:dyDescent="0.3">
      <c r="A28" s="275" t="s">
        <v>1816</v>
      </c>
      <c r="B28" s="275" t="s">
        <v>896</v>
      </c>
      <c r="C28" s="236" t="s">
        <v>654</v>
      </c>
      <c r="D28" s="365"/>
      <c r="E28" s="229"/>
      <c r="F28" s="365"/>
      <c r="G28" s="229"/>
    </row>
    <row r="29" spans="1:7" x14ac:dyDescent="0.3">
      <c r="A29" s="275" t="s">
        <v>1817</v>
      </c>
      <c r="B29" s="275" t="s">
        <v>898</v>
      </c>
      <c r="C29" s="236" t="s">
        <v>654</v>
      </c>
      <c r="D29" s="365"/>
      <c r="E29" s="229"/>
      <c r="F29" s="365"/>
      <c r="G29" s="229"/>
    </row>
    <row r="30" spans="1:7" x14ac:dyDescent="0.3">
      <c r="A30" s="275" t="s">
        <v>1818</v>
      </c>
      <c r="B30" s="275" t="s">
        <v>900</v>
      </c>
      <c r="C30" s="236" t="s">
        <v>654</v>
      </c>
      <c r="D30" s="365"/>
      <c r="E30" s="229"/>
      <c r="F30" s="365"/>
      <c r="G30" s="229"/>
    </row>
    <row r="31" spans="1:7" x14ac:dyDescent="0.3">
      <c r="A31" s="275" t="s">
        <v>1819</v>
      </c>
      <c r="B31" s="275" t="s">
        <v>902</v>
      </c>
      <c r="C31" s="236" t="s">
        <v>654</v>
      </c>
      <c r="D31" s="365"/>
      <c r="E31" s="229"/>
      <c r="F31" s="365"/>
      <c r="G31" s="229"/>
    </row>
    <row r="32" spans="1:7" x14ac:dyDescent="0.3">
      <c r="A32" s="275" t="s">
        <v>1820</v>
      </c>
      <c r="B32" s="275" t="s">
        <v>904</v>
      </c>
      <c r="C32" s="236" t="s">
        <v>654</v>
      </c>
      <c r="D32" s="365"/>
      <c r="E32" s="229"/>
      <c r="F32" s="365"/>
      <c r="G32" s="229"/>
    </row>
    <row r="33" spans="1:7" x14ac:dyDescent="0.3">
      <c r="A33" s="275" t="s">
        <v>1821</v>
      </c>
      <c r="B33" s="275" t="s">
        <v>906</v>
      </c>
      <c r="C33" s="236" t="s">
        <v>654</v>
      </c>
      <c r="D33" s="365"/>
      <c r="E33" s="229"/>
      <c r="F33" s="365"/>
      <c r="G33" s="229"/>
    </row>
    <row r="34" spans="1:7" x14ac:dyDescent="0.3">
      <c r="A34" s="275" t="s">
        <v>1822</v>
      </c>
      <c r="B34" s="275" t="s">
        <v>908</v>
      </c>
      <c r="C34" s="236" t="s">
        <v>654</v>
      </c>
      <c r="D34" s="365"/>
      <c r="E34" s="229"/>
      <c r="F34" s="365"/>
      <c r="G34" s="229"/>
    </row>
    <row r="35" spans="1:7" x14ac:dyDescent="0.3">
      <c r="A35" s="275" t="s">
        <v>1823</v>
      </c>
      <c r="B35" s="275" t="s">
        <v>910</v>
      </c>
      <c r="C35" s="236" t="s">
        <v>654</v>
      </c>
      <c r="D35" s="365"/>
      <c r="E35" s="229"/>
      <c r="F35" s="365"/>
      <c r="G35" s="229"/>
    </row>
    <row r="36" spans="1:7" x14ac:dyDescent="0.3">
      <c r="A36" s="275" t="s">
        <v>1824</v>
      </c>
      <c r="B36" s="275" t="s">
        <v>163</v>
      </c>
      <c r="C36" s="236" t="s">
        <v>654</v>
      </c>
      <c r="D36" s="365"/>
      <c r="E36" s="229"/>
      <c r="F36" s="365"/>
      <c r="G36" s="229"/>
    </row>
    <row r="37" spans="1:7" x14ac:dyDescent="0.3">
      <c r="A37" s="275" t="s">
        <v>1825</v>
      </c>
      <c r="B37" s="275" t="s">
        <v>913</v>
      </c>
      <c r="C37" s="236" t="s">
        <v>654</v>
      </c>
      <c r="D37" s="365"/>
      <c r="E37" s="229"/>
      <c r="F37" s="365"/>
      <c r="G37" s="229"/>
    </row>
    <row r="38" spans="1:7" x14ac:dyDescent="0.3">
      <c r="A38" s="275" t="s">
        <v>1826</v>
      </c>
      <c r="B38" s="275" t="s">
        <v>915</v>
      </c>
      <c r="C38" s="236" t="s">
        <v>654</v>
      </c>
      <c r="D38" s="365"/>
      <c r="E38" s="229"/>
      <c r="F38" s="365"/>
      <c r="G38" s="229"/>
    </row>
    <row r="39" spans="1:7" x14ac:dyDescent="0.3">
      <c r="A39" s="275" t="s">
        <v>1827</v>
      </c>
      <c r="B39" s="275" t="s">
        <v>917</v>
      </c>
      <c r="C39" s="236" t="s">
        <v>654</v>
      </c>
      <c r="D39" s="365"/>
      <c r="E39" s="229"/>
      <c r="F39" s="365"/>
      <c r="G39" s="229"/>
    </row>
    <row r="40" spans="1:7" x14ac:dyDescent="0.3">
      <c r="A40" s="275" t="s">
        <v>1828</v>
      </c>
      <c r="B40" s="275" t="s">
        <v>919</v>
      </c>
      <c r="C40" s="236" t="s">
        <v>654</v>
      </c>
      <c r="D40" s="365"/>
      <c r="E40" s="229"/>
      <c r="F40" s="365"/>
      <c r="G40" s="229"/>
    </row>
    <row r="41" spans="1:7" x14ac:dyDescent="0.3">
      <c r="A41" s="275" t="s">
        <v>1829</v>
      </c>
      <c r="B41" s="275" t="s">
        <v>921</v>
      </c>
      <c r="C41" s="236" t="s">
        <v>654</v>
      </c>
      <c r="D41" s="365"/>
      <c r="E41" s="229"/>
      <c r="F41" s="365"/>
      <c r="G41" s="229"/>
    </row>
    <row r="42" spans="1:7" x14ac:dyDescent="0.3">
      <c r="A42" s="275" t="s">
        <v>1830</v>
      </c>
      <c r="B42" s="275" t="s">
        <v>923</v>
      </c>
      <c r="C42" s="236" t="s">
        <v>654</v>
      </c>
      <c r="D42" s="365"/>
      <c r="E42" s="229"/>
      <c r="F42" s="365"/>
      <c r="G42" s="229"/>
    </row>
    <row r="43" spans="1:7" x14ac:dyDescent="0.3">
      <c r="A43" s="275" t="s">
        <v>1831</v>
      </c>
      <c r="B43" s="275" t="s">
        <v>925</v>
      </c>
      <c r="C43" s="236" t="s">
        <v>654</v>
      </c>
      <c r="D43" s="365"/>
      <c r="E43" s="229"/>
      <c r="F43" s="365"/>
      <c r="G43" s="229"/>
    </row>
    <row r="44" spans="1:7" x14ac:dyDescent="0.3">
      <c r="A44" s="275" t="s">
        <v>1832</v>
      </c>
      <c r="B44" s="275" t="s">
        <v>927</v>
      </c>
      <c r="C44" s="236" t="s">
        <v>654</v>
      </c>
      <c r="D44" s="365"/>
      <c r="E44" s="229"/>
      <c r="F44" s="365"/>
      <c r="G44" s="229"/>
    </row>
    <row r="45" spans="1:7" x14ac:dyDescent="0.3">
      <c r="A45" s="275" t="s">
        <v>1833</v>
      </c>
      <c r="B45" s="275" t="s">
        <v>929</v>
      </c>
      <c r="C45" s="236" t="s">
        <v>654</v>
      </c>
      <c r="D45" s="365"/>
      <c r="E45" s="229"/>
      <c r="F45" s="365"/>
      <c r="G45" s="229"/>
    </row>
    <row r="46" spans="1:7" x14ac:dyDescent="0.3">
      <c r="A46" s="275" t="s">
        <v>1834</v>
      </c>
      <c r="B46" s="275" t="s">
        <v>931</v>
      </c>
      <c r="C46" s="236" t="s">
        <v>654</v>
      </c>
      <c r="D46" s="365"/>
      <c r="E46" s="229"/>
      <c r="F46" s="365"/>
      <c r="G46" s="229"/>
    </row>
    <row r="47" spans="1:7" x14ac:dyDescent="0.3">
      <c r="A47" s="275" t="s">
        <v>1835</v>
      </c>
      <c r="B47" s="275" t="s">
        <v>933</v>
      </c>
      <c r="C47" s="236" t="s">
        <v>654</v>
      </c>
      <c r="D47" s="365"/>
      <c r="E47" s="229"/>
      <c r="F47" s="365"/>
      <c r="G47" s="229"/>
    </row>
    <row r="48" spans="1:7" x14ac:dyDescent="0.3">
      <c r="A48" s="275" t="s">
        <v>1836</v>
      </c>
      <c r="B48" s="275" t="s">
        <v>935</v>
      </c>
      <c r="C48" s="236" t="s">
        <v>654</v>
      </c>
      <c r="D48" s="365"/>
      <c r="E48" s="229"/>
      <c r="F48" s="365"/>
      <c r="G48" s="229"/>
    </row>
    <row r="49" spans="1:7" x14ac:dyDescent="0.3">
      <c r="A49" s="275" t="s">
        <v>1837</v>
      </c>
      <c r="B49" s="275" t="s">
        <v>937</v>
      </c>
      <c r="C49" s="236" t="s">
        <v>654</v>
      </c>
      <c r="D49" s="365"/>
      <c r="E49" s="229"/>
      <c r="F49" s="365"/>
      <c r="G49" s="229"/>
    </row>
    <row r="50" spans="1:7" x14ac:dyDescent="0.3">
      <c r="A50" s="275" t="s">
        <v>1838</v>
      </c>
      <c r="B50" s="275" t="s">
        <v>939</v>
      </c>
      <c r="C50" s="236" t="s">
        <v>654</v>
      </c>
      <c r="D50" s="365"/>
      <c r="E50" s="229"/>
      <c r="F50" s="365"/>
      <c r="G50" s="229"/>
    </row>
    <row r="51" spans="1:7" x14ac:dyDescent="0.3">
      <c r="A51" s="275" t="s">
        <v>1839</v>
      </c>
      <c r="B51" s="275" t="s">
        <v>941</v>
      </c>
      <c r="C51" s="236" t="s">
        <v>654</v>
      </c>
      <c r="D51" s="365"/>
      <c r="E51" s="229"/>
      <c r="F51" s="365"/>
      <c r="G51" s="229"/>
    </row>
    <row r="52" spans="1:7" x14ac:dyDescent="0.3">
      <c r="A52" s="275" t="s">
        <v>1840</v>
      </c>
      <c r="B52" s="275" t="s">
        <v>943</v>
      </c>
      <c r="C52" s="236" t="s">
        <v>654</v>
      </c>
      <c r="D52" s="365"/>
      <c r="E52" s="229"/>
      <c r="F52" s="365"/>
      <c r="G52" s="229"/>
    </row>
    <row r="53" spans="1:7" x14ac:dyDescent="0.3">
      <c r="A53" s="275" t="s">
        <v>1841</v>
      </c>
      <c r="B53" s="275" t="s">
        <v>945</v>
      </c>
      <c r="C53" s="236" t="s">
        <v>654</v>
      </c>
      <c r="D53" s="365"/>
      <c r="E53" s="229"/>
      <c r="F53" s="365"/>
      <c r="G53" s="229"/>
    </row>
    <row r="54" spans="1:7" x14ac:dyDescent="0.3">
      <c r="A54" s="275" t="s">
        <v>1842</v>
      </c>
      <c r="B54" s="326" t="s">
        <v>564</v>
      </c>
      <c r="C54" s="366">
        <f>SUM(C55:C57)</f>
        <v>0</v>
      </c>
      <c r="D54" s="365"/>
      <c r="E54" s="229"/>
      <c r="F54" s="365"/>
      <c r="G54" s="229"/>
    </row>
    <row r="55" spans="1:7" x14ac:dyDescent="0.3">
      <c r="A55" s="275" t="s">
        <v>1843</v>
      </c>
      <c r="B55" s="275" t="s">
        <v>948</v>
      </c>
      <c r="C55" s="236" t="s">
        <v>654</v>
      </c>
      <c r="D55" s="365"/>
      <c r="E55" s="229"/>
      <c r="F55" s="365"/>
      <c r="G55" s="229"/>
    </row>
    <row r="56" spans="1:7" x14ac:dyDescent="0.3">
      <c r="A56" s="275" t="s">
        <v>1844</v>
      </c>
      <c r="B56" s="275" t="s">
        <v>950</v>
      </c>
      <c r="C56" s="236" t="s">
        <v>654</v>
      </c>
      <c r="D56" s="365"/>
      <c r="E56" s="229"/>
      <c r="F56" s="365"/>
      <c r="G56" s="229"/>
    </row>
    <row r="57" spans="1:7" x14ac:dyDescent="0.3">
      <c r="A57" s="275" t="s">
        <v>1845</v>
      </c>
      <c r="B57" s="275" t="s">
        <v>952</v>
      </c>
      <c r="C57" s="236" t="s">
        <v>654</v>
      </c>
      <c r="D57" s="365"/>
      <c r="E57" s="229"/>
      <c r="F57" s="365"/>
      <c r="G57" s="229"/>
    </row>
    <row r="58" spans="1:7" x14ac:dyDescent="0.3">
      <c r="A58" s="275" t="s">
        <v>1846</v>
      </c>
      <c r="B58" s="326" t="s">
        <v>350</v>
      </c>
      <c r="C58" s="366">
        <f>SUM(C59:C69)</f>
        <v>0</v>
      </c>
      <c r="D58" s="365"/>
      <c r="E58" s="229"/>
      <c r="F58" s="365"/>
      <c r="G58" s="229"/>
    </row>
    <row r="59" spans="1:7" x14ac:dyDescent="0.3">
      <c r="A59" s="275" t="s">
        <v>1847</v>
      </c>
      <c r="B59" s="290" t="s">
        <v>567</v>
      </c>
      <c r="C59" s="236" t="s">
        <v>654</v>
      </c>
      <c r="D59" s="365"/>
      <c r="E59" s="229"/>
      <c r="F59" s="365"/>
      <c r="G59" s="229"/>
    </row>
    <row r="60" spans="1:7" x14ac:dyDescent="0.3">
      <c r="A60" s="275" t="s">
        <v>1848</v>
      </c>
      <c r="B60" s="275" t="s">
        <v>570</v>
      </c>
      <c r="C60" s="236" t="s">
        <v>654</v>
      </c>
      <c r="D60" s="365"/>
      <c r="E60" s="229"/>
      <c r="F60" s="365"/>
      <c r="G60" s="229"/>
    </row>
    <row r="61" spans="1:7" x14ac:dyDescent="0.3">
      <c r="A61" s="275" t="s">
        <v>1849</v>
      </c>
      <c r="B61" s="290" t="s">
        <v>573</v>
      </c>
      <c r="C61" s="236" t="s">
        <v>654</v>
      </c>
      <c r="D61" s="365"/>
      <c r="E61" s="229"/>
      <c r="F61" s="365"/>
      <c r="G61" s="229"/>
    </row>
    <row r="62" spans="1:7" x14ac:dyDescent="0.3">
      <c r="A62" s="275" t="s">
        <v>1850</v>
      </c>
      <c r="B62" s="290" t="s">
        <v>576</v>
      </c>
      <c r="C62" s="236" t="s">
        <v>654</v>
      </c>
      <c r="D62" s="365"/>
      <c r="E62" s="229"/>
      <c r="F62" s="365"/>
      <c r="G62" s="229"/>
    </row>
    <row r="63" spans="1:7" x14ac:dyDescent="0.3">
      <c r="A63" s="275" t="s">
        <v>1851</v>
      </c>
      <c r="B63" s="290" t="s">
        <v>579</v>
      </c>
      <c r="C63" s="236" t="s">
        <v>654</v>
      </c>
      <c r="D63" s="365"/>
      <c r="E63" s="229"/>
      <c r="F63" s="365"/>
      <c r="G63" s="229"/>
    </row>
    <row r="64" spans="1:7" x14ac:dyDescent="0.3">
      <c r="A64" s="275" t="s">
        <v>1852</v>
      </c>
      <c r="B64" s="290" t="s">
        <v>583</v>
      </c>
      <c r="C64" s="236" t="s">
        <v>654</v>
      </c>
      <c r="D64" s="365"/>
      <c r="E64" s="229"/>
      <c r="F64" s="365"/>
      <c r="G64" s="229"/>
    </row>
    <row r="65" spans="1:7" x14ac:dyDescent="0.3">
      <c r="A65" s="275" t="s">
        <v>1853</v>
      </c>
      <c r="B65" s="290" t="s">
        <v>587</v>
      </c>
      <c r="C65" s="236" t="s">
        <v>654</v>
      </c>
      <c r="D65" s="365"/>
      <c r="E65" s="229"/>
      <c r="F65" s="365"/>
      <c r="G65" s="229"/>
    </row>
    <row r="66" spans="1:7" x14ac:dyDescent="0.3">
      <c r="A66" s="275" t="s">
        <v>1854</v>
      </c>
      <c r="B66" s="290" t="s">
        <v>591</v>
      </c>
      <c r="C66" s="236" t="s">
        <v>654</v>
      </c>
      <c r="D66" s="365"/>
      <c r="E66" s="229"/>
      <c r="F66" s="365"/>
      <c r="G66" s="229"/>
    </row>
    <row r="67" spans="1:7" x14ac:dyDescent="0.3">
      <c r="A67" s="275" t="s">
        <v>1855</v>
      </c>
      <c r="B67" s="290" t="s">
        <v>593</v>
      </c>
      <c r="C67" s="236" t="s">
        <v>654</v>
      </c>
      <c r="D67" s="365"/>
      <c r="E67" s="229"/>
      <c r="F67" s="365"/>
      <c r="G67" s="229"/>
    </row>
    <row r="68" spans="1:7" x14ac:dyDescent="0.3">
      <c r="A68" s="275" t="s">
        <v>1856</v>
      </c>
      <c r="B68" s="290" t="s">
        <v>595</v>
      </c>
      <c r="C68" s="236" t="s">
        <v>654</v>
      </c>
      <c r="D68" s="365"/>
      <c r="E68" s="229"/>
      <c r="F68" s="365"/>
      <c r="G68" s="229"/>
    </row>
    <row r="69" spans="1:7" x14ac:dyDescent="0.3">
      <c r="A69" s="275" t="s">
        <v>1857</v>
      </c>
      <c r="B69" s="290" t="s">
        <v>350</v>
      </c>
      <c r="C69" s="236" t="s">
        <v>654</v>
      </c>
      <c r="D69" s="365"/>
      <c r="E69" s="229"/>
      <c r="F69" s="365"/>
      <c r="G69" s="229"/>
    </row>
    <row r="70" spans="1:7" x14ac:dyDescent="0.3">
      <c r="A70" s="275" t="s">
        <v>1858</v>
      </c>
      <c r="B70" s="227" t="s">
        <v>354</v>
      </c>
      <c r="C70" s="236"/>
      <c r="D70" s="229"/>
      <c r="E70" s="229"/>
      <c r="F70" s="229"/>
      <c r="G70" s="229"/>
    </row>
    <row r="71" spans="1:7" x14ac:dyDescent="0.3">
      <c r="A71" s="275" t="s">
        <v>1859</v>
      </c>
      <c r="B71" s="227" t="s">
        <v>354</v>
      </c>
      <c r="C71" s="236"/>
      <c r="D71" s="229"/>
      <c r="E71" s="229"/>
      <c r="F71" s="229"/>
      <c r="G71" s="229"/>
    </row>
    <row r="72" spans="1:7" x14ac:dyDescent="0.3">
      <c r="A72" s="275" t="s">
        <v>1860</v>
      </c>
      <c r="B72" s="227" t="s">
        <v>354</v>
      </c>
      <c r="C72" s="236"/>
      <c r="D72" s="229"/>
      <c r="E72" s="229"/>
      <c r="F72" s="229"/>
      <c r="G72" s="229"/>
    </row>
    <row r="73" spans="1:7" x14ac:dyDescent="0.3">
      <c r="A73" s="275" t="s">
        <v>1861</v>
      </c>
      <c r="B73" s="227" t="s">
        <v>354</v>
      </c>
      <c r="C73" s="236"/>
      <c r="D73" s="229"/>
      <c r="E73" s="229"/>
      <c r="F73" s="229"/>
      <c r="G73" s="229"/>
    </row>
    <row r="74" spans="1:7" x14ac:dyDescent="0.3">
      <c r="A74" s="275" t="s">
        <v>1862</v>
      </c>
      <c r="B74" s="227" t="s">
        <v>354</v>
      </c>
      <c r="C74" s="236"/>
      <c r="D74" s="229"/>
      <c r="E74" s="229"/>
      <c r="F74" s="229"/>
      <c r="G74" s="229"/>
    </row>
    <row r="75" spans="1:7" x14ac:dyDescent="0.3">
      <c r="A75" s="275" t="s">
        <v>1863</v>
      </c>
      <c r="B75" s="227" t="s">
        <v>354</v>
      </c>
      <c r="C75" s="236"/>
      <c r="D75" s="229"/>
      <c r="E75" s="229"/>
      <c r="F75" s="229"/>
      <c r="G75" s="229"/>
    </row>
    <row r="76" spans="1:7" x14ac:dyDescent="0.3">
      <c r="A76" s="275" t="s">
        <v>1864</v>
      </c>
      <c r="B76" s="227" t="s">
        <v>354</v>
      </c>
      <c r="C76" s="236"/>
      <c r="D76" s="229"/>
      <c r="E76" s="229"/>
      <c r="F76" s="229"/>
      <c r="G76" s="229"/>
    </row>
    <row r="77" spans="1:7" x14ac:dyDescent="0.3">
      <c r="A77" s="275" t="s">
        <v>1865</v>
      </c>
      <c r="B77" s="227" t="s">
        <v>354</v>
      </c>
      <c r="C77" s="236"/>
      <c r="D77" s="229"/>
      <c r="E77" s="229"/>
      <c r="F77" s="229"/>
      <c r="G77" s="229"/>
    </row>
    <row r="78" spans="1:7" x14ac:dyDescent="0.3">
      <c r="A78" s="275" t="s">
        <v>1866</v>
      </c>
      <c r="B78" s="227" t="s">
        <v>354</v>
      </c>
      <c r="C78" s="236"/>
      <c r="D78" s="229"/>
      <c r="E78" s="229"/>
      <c r="F78" s="229"/>
      <c r="G78" s="229"/>
    </row>
    <row r="79" spans="1:7" x14ac:dyDescent="0.3">
      <c r="A79" s="275" t="s">
        <v>1867</v>
      </c>
      <c r="B79" s="227" t="s">
        <v>354</v>
      </c>
      <c r="C79" s="236"/>
      <c r="D79" s="229"/>
      <c r="E79" s="229"/>
      <c r="F79" s="229"/>
      <c r="G79" s="229"/>
    </row>
    <row r="80" spans="1:7" x14ac:dyDescent="0.3">
      <c r="A80" s="289"/>
      <c r="B80" s="347" t="s">
        <v>1868</v>
      </c>
      <c r="C80" s="289" t="s">
        <v>1805</v>
      </c>
      <c r="D80" s="289"/>
      <c r="E80" s="353"/>
      <c r="F80" s="348"/>
      <c r="G80" s="348"/>
    </row>
    <row r="81" spans="1:7" x14ac:dyDescent="0.3">
      <c r="A81" s="275" t="s">
        <v>1869</v>
      </c>
      <c r="B81" s="275" t="s">
        <v>1046</v>
      </c>
      <c r="C81" s="236" t="s">
        <v>654</v>
      </c>
      <c r="D81" s="229"/>
      <c r="E81" s="170"/>
      <c r="F81" s="229"/>
      <c r="G81" s="170"/>
    </row>
    <row r="82" spans="1:7" x14ac:dyDescent="0.3">
      <c r="A82" s="275" t="s">
        <v>1870</v>
      </c>
      <c r="B82" s="275" t="s">
        <v>1048</v>
      </c>
      <c r="C82" s="236" t="s">
        <v>654</v>
      </c>
      <c r="D82" s="229"/>
      <c r="E82" s="170"/>
      <c r="F82" s="229"/>
      <c r="G82" s="170"/>
    </row>
    <row r="83" spans="1:7" x14ac:dyDescent="0.3">
      <c r="A83" s="275" t="s">
        <v>1871</v>
      </c>
      <c r="B83" s="275" t="s">
        <v>350</v>
      </c>
      <c r="C83" s="236" t="s">
        <v>654</v>
      </c>
      <c r="D83" s="229"/>
      <c r="E83" s="170"/>
      <c r="F83" s="229"/>
      <c r="G83" s="170"/>
    </row>
    <row r="84" spans="1:7" x14ac:dyDescent="0.3">
      <c r="A84" s="275" t="s">
        <v>1872</v>
      </c>
      <c r="B84" s="229"/>
      <c r="C84" s="236"/>
      <c r="D84" s="229"/>
      <c r="E84" s="170"/>
      <c r="F84" s="229"/>
      <c r="G84" s="170"/>
    </row>
    <row r="85" spans="1:7" x14ac:dyDescent="0.3">
      <c r="A85" s="275" t="s">
        <v>1873</v>
      </c>
      <c r="B85" s="229"/>
      <c r="C85" s="236"/>
      <c r="D85" s="229"/>
      <c r="E85" s="170"/>
      <c r="F85" s="229"/>
      <c r="G85" s="170"/>
    </row>
    <row r="86" spans="1:7" x14ac:dyDescent="0.3">
      <c r="A86" s="275" t="s">
        <v>1874</v>
      </c>
      <c r="B86" s="229"/>
      <c r="C86" s="236"/>
      <c r="D86" s="229"/>
      <c r="E86" s="170"/>
      <c r="F86" s="229"/>
      <c r="G86" s="170"/>
    </row>
    <row r="87" spans="1:7" x14ac:dyDescent="0.3">
      <c r="A87" s="275" t="s">
        <v>1875</v>
      </c>
      <c r="B87" s="229"/>
      <c r="C87" s="236"/>
      <c r="D87" s="229"/>
      <c r="E87" s="170"/>
      <c r="F87" s="229"/>
      <c r="G87" s="170"/>
    </row>
    <row r="88" spans="1:7" x14ac:dyDescent="0.3">
      <c r="A88" s="275" t="s">
        <v>1876</v>
      </c>
      <c r="B88" s="229"/>
      <c r="C88" s="236"/>
      <c r="D88" s="229"/>
      <c r="E88" s="170"/>
      <c r="F88" s="229"/>
      <c r="G88" s="170"/>
    </row>
    <row r="89" spans="1:7" x14ac:dyDescent="0.3">
      <c r="A89" s="275" t="s">
        <v>1877</v>
      </c>
      <c r="B89" s="229"/>
      <c r="C89" s="236"/>
      <c r="D89" s="229"/>
      <c r="E89" s="170"/>
      <c r="F89" s="229"/>
      <c r="G89" s="170"/>
    </row>
    <row r="90" spans="1:7" x14ac:dyDescent="0.3">
      <c r="A90" s="289"/>
      <c r="B90" s="347" t="s">
        <v>1878</v>
      </c>
      <c r="C90" s="289" t="s">
        <v>1805</v>
      </c>
      <c r="D90" s="289"/>
      <c r="E90" s="353"/>
      <c r="F90" s="348"/>
      <c r="G90" s="348"/>
    </row>
    <row r="91" spans="1:7" x14ac:dyDescent="0.3">
      <c r="A91" s="275" t="s">
        <v>1879</v>
      </c>
      <c r="B91" s="275" t="s">
        <v>1058</v>
      </c>
      <c r="C91" s="236" t="s">
        <v>654</v>
      </c>
      <c r="D91" s="229"/>
      <c r="E91" s="170"/>
      <c r="F91" s="229"/>
      <c r="G91" s="170"/>
    </row>
    <row r="92" spans="1:7" x14ac:dyDescent="0.3">
      <c r="A92" s="275" t="s">
        <v>1880</v>
      </c>
      <c r="B92" s="275" t="s">
        <v>1060</v>
      </c>
      <c r="C92" s="236" t="s">
        <v>654</v>
      </c>
      <c r="D92" s="229"/>
      <c r="E92" s="170"/>
      <c r="F92" s="229"/>
      <c r="G92" s="170"/>
    </row>
    <row r="93" spans="1:7" x14ac:dyDescent="0.3">
      <c r="A93" s="275" t="s">
        <v>1881</v>
      </c>
      <c r="B93" s="275" t="s">
        <v>350</v>
      </c>
      <c r="C93" s="236" t="s">
        <v>654</v>
      </c>
      <c r="D93" s="229"/>
      <c r="E93" s="170"/>
      <c r="F93" s="229"/>
      <c r="G93" s="170"/>
    </row>
    <row r="94" spans="1:7" x14ac:dyDescent="0.3">
      <c r="A94" s="275" t="s">
        <v>1882</v>
      </c>
      <c r="B94" s="229"/>
      <c r="C94" s="236"/>
      <c r="D94" s="229"/>
      <c r="E94" s="170"/>
      <c r="F94" s="229"/>
      <c r="G94" s="170"/>
    </row>
    <row r="95" spans="1:7" x14ac:dyDescent="0.3">
      <c r="A95" s="275" t="s">
        <v>1883</v>
      </c>
      <c r="B95" s="229"/>
      <c r="C95" s="236"/>
      <c r="D95" s="229"/>
      <c r="E95" s="170"/>
      <c r="F95" s="229"/>
      <c r="G95" s="170"/>
    </row>
    <row r="96" spans="1:7" x14ac:dyDescent="0.3">
      <c r="A96" s="275" t="s">
        <v>1884</v>
      </c>
      <c r="B96" s="229"/>
      <c r="C96" s="236"/>
      <c r="D96" s="229"/>
      <c r="E96" s="170"/>
      <c r="F96" s="229"/>
      <c r="G96" s="170"/>
    </row>
    <row r="97" spans="1:7" x14ac:dyDescent="0.3">
      <c r="A97" s="275" t="s">
        <v>1885</v>
      </c>
      <c r="B97" s="229"/>
      <c r="C97" s="236"/>
      <c r="D97" s="229"/>
      <c r="E97" s="170"/>
      <c r="F97" s="229"/>
      <c r="G97" s="170"/>
    </row>
    <row r="98" spans="1:7" x14ac:dyDescent="0.3">
      <c r="A98" s="275" t="s">
        <v>1886</v>
      </c>
      <c r="B98" s="229"/>
      <c r="C98" s="236"/>
      <c r="D98" s="229"/>
      <c r="E98" s="170"/>
      <c r="F98" s="229"/>
      <c r="G98" s="170"/>
    </row>
    <row r="99" spans="1:7" x14ac:dyDescent="0.3">
      <c r="A99" s="275" t="s">
        <v>1887</v>
      </c>
      <c r="B99" s="229"/>
      <c r="C99" s="236"/>
      <c r="D99" s="229"/>
      <c r="E99" s="170"/>
      <c r="F99" s="229"/>
      <c r="G99" s="170"/>
    </row>
    <row r="100" spans="1:7" x14ac:dyDescent="0.3">
      <c r="A100" s="289"/>
      <c r="B100" s="347" t="s">
        <v>1888</v>
      </c>
      <c r="C100" s="289" t="s">
        <v>1805</v>
      </c>
      <c r="D100" s="289"/>
      <c r="E100" s="353"/>
      <c r="F100" s="348"/>
      <c r="G100" s="348"/>
    </row>
    <row r="101" spans="1:7" x14ac:dyDescent="0.3">
      <c r="A101" s="275" t="s">
        <v>1889</v>
      </c>
      <c r="B101" s="299" t="s">
        <v>1070</v>
      </c>
      <c r="C101" s="236" t="s">
        <v>654</v>
      </c>
      <c r="D101" s="229"/>
      <c r="E101" s="170"/>
      <c r="F101" s="229"/>
      <c r="G101" s="170"/>
    </row>
    <row r="102" spans="1:7" x14ac:dyDescent="0.3">
      <c r="A102" s="275" t="s">
        <v>1890</v>
      </c>
      <c r="B102" s="299" t="s">
        <v>1072</v>
      </c>
      <c r="C102" s="236" t="s">
        <v>654</v>
      </c>
      <c r="D102" s="229"/>
      <c r="E102" s="170"/>
      <c r="F102" s="229"/>
      <c r="G102" s="170"/>
    </row>
    <row r="103" spans="1:7" x14ac:dyDescent="0.3">
      <c r="A103" s="275" t="s">
        <v>1891</v>
      </c>
      <c r="B103" s="299" t="s">
        <v>1074</v>
      </c>
      <c r="C103" s="236" t="s">
        <v>654</v>
      </c>
      <c r="D103" s="229"/>
      <c r="E103" s="229"/>
      <c r="F103" s="229"/>
      <c r="G103" s="170"/>
    </row>
    <row r="104" spans="1:7" x14ac:dyDescent="0.3">
      <c r="A104" s="275" t="s">
        <v>1892</v>
      </c>
      <c r="B104" s="299" t="s">
        <v>1076</v>
      </c>
      <c r="C104" s="236" t="s">
        <v>654</v>
      </c>
      <c r="D104" s="229"/>
      <c r="E104" s="229"/>
      <c r="F104" s="229"/>
      <c r="G104" s="170"/>
    </row>
    <row r="105" spans="1:7" x14ac:dyDescent="0.3">
      <c r="A105" s="275" t="s">
        <v>1893</v>
      </c>
      <c r="B105" s="299" t="s">
        <v>1078</v>
      </c>
      <c r="C105" s="236" t="s">
        <v>654</v>
      </c>
      <c r="D105" s="229"/>
      <c r="E105" s="229"/>
      <c r="F105" s="229"/>
      <c r="G105" s="170"/>
    </row>
    <row r="106" spans="1:7" x14ac:dyDescent="0.3">
      <c r="A106" s="275" t="s">
        <v>1894</v>
      </c>
      <c r="B106" s="329"/>
      <c r="C106" s="236"/>
      <c r="D106" s="229"/>
      <c r="E106" s="229"/>
      <c r="F106" s="229"/>
      <c r="G106" s="170"/>
    </row>
    <row r="107" spans="1:7" x14ac:dyDescent="0.3">
      <c r="A107" s="275" t="s">
        <v>1895</v>
      </c>
      <c r="B107" s="329"/>
      <c r="C107" s="236"/>
      <c r="D107" s="229"/>
      <c r="E107" s="229"/>
      <c r="F107" s="229"/>
      <c r="G107" s="170"/>
    </row>
    <row r="108" spans="1:7" x14ac:dyDescent="0.3">
      <c r="A108" s="275" t="s">
        <v>1896</v>
      </c>
      <c r="B108" s="329"/>
      <c r="C108" s="236"/>
      <c r="D108" s="229"/>
      <c r="E108" s="229"/>
      <c r="F108" s="229"/>
      <c r="G108" s="170"/>
    </row>
    <row r="109" spans="1:7" x14ac:dyDescent="0.3">
      <c r="A109" s="275" t="s">
        <v>1897</v>
      </c>
      <c r="B109" s="329"/>
      <c r="C109" s="236"/>
      <c r="D109" s="229"/>
      <c r="E109" s="229"/>
      <c r="F109" s="229"/>
      <c r="G109" s="170"/>
    </row>
    <row r="110" spans="1:7" x14ac:dyDescent="0.3">
      <c r="A110" s="289"/>
      <c r="B110" s="347" t="s">
        <v>1898</v>
      </c>
      <c r="C110" s="289" t="s">
        <v>1805</v>
      </c>
      <c r="D110" s="289"/>
      <c r="E110" s="353"/>
      <c r="F110" s="348"/>
      <c r="G110" s="348"/>
    </row>
    <row r="111" spans="1:7" x14ac:dyDescent="0.3">
      <c r="A111" s="275" t="s">
        <v>1899</v>
      </c>
      <c r="B111" s="275" t="s">
        <v>1085</v>
      </c>
      <c r="C111" s="236" t="s">
        <v>654</v>
      </c>
      <c r="D111" s="229"/>
      <c r="E111" s="170"/>
      <c r="F111" s="229"/>
      <c r="G111" s="170"/>
    </row>
    <row r="112" spans="1:7" x14ac:dyDescent="0.3">
      <c r="A112" s="275" t="s">
        <v>1900</v>
      </c>
      <c r="B112" s="330" t="s">
        <v>1087</v>
      </c>
      <c r="C112" s="236"/>
      <c r="D112" s="229"/>
      <c r="E112" s="170"/>
      <c r="F112" s="229"/>
      <c r="G112" s="170"/>
    </row>
    <row r="113" spans="1:7" x14ac:dyDescent="0.3">
      <c r="A113" s="275" t="s">
        <v>1901</v>
      </c>
      <c r="B113" s="229"/>
      <c r="C113" s="236"/>
      <c r="D113" s="229"/>
      <c r="E113" s="170"/>
      <c r="F113" s="229"/>
      <c r="G113" s="170"/>
    </row>
    <row r="114" spans="1:7" x14ac:dyDescent="0.3">
      <c r="A114" s="275" t="s">
        <v>1902</v>
      </c>
      <c r="B114" s="229"/>
      <c r="C114" s="236"/>
      <c r="D114" s="229"/>
      <c r="E114" s="170"/>
      <c r="F114" s="229"/>
      <c r="G114" s="170"/>
    </row>
    <row r="115" spans="1:7" x14ac:dyDescent="0.3">
      <c r="A115" s="275" t="s">
        <v>1903</v>
      </c>
      <c r="B115" s="229"/>
      <c r="C115" s="236"/>
      <c r="D115" s="229"/>
      <c r="E115" s="170"/>
      <c r="F115" s="229"/>
      <c r="G115" s="170"/>
    </row>
    <row r="116" spans="1:7" x14ac:dyDescent="0.3">
      <c r="A116" s="289"/>
      <c r="B116" s="347" t="s">
        <v>1904</v>
      </c>
      <c r="C116" s="289" t="s">
        <v>1092</v>
      </c>
      <c r="D116" s="289" t="s">
        <v>1093</v>
      </c>
      <c r="E116" s="353"/>
      <c r="F116" s="289" t="s">
        <v>1805</v>
      </c>
      <c r="G116" s="289" t="s">
        <v>519</v>
      </c>
    </row>
    <row r="117" spans="1:7" x14ac:dyDescent="0.3">
      <c r="A117" s="275" t="s">
        <v>1905</v>
      </c>
      <c r="B117" s="290" t="s">
        <v>1095</v>
      </c>
      <c r="C117" s="229" t="s">
        <v>654</v>
      </c>
      <c r="D117" s="334"/>
      <c r="E117" s="334"/>
      <c r="F117" s="173"/>
      <c r="G117" s="173"/>
    </row>
    <row r="118" spans="1:7" x14ac:dyDescent="0.3">
      <c r="A118" s="334"/>
      <c r="B118" s="335"/>
      <c r="C118" s="334"/>
      <c r="D118" s="334"/>
      <c r="E118" s="334"/>
      <c r="F118" s="173"/>
      <c r="G118" s="173"/>
    </row>
    <row r="119" spans="1:7" x14ac:dyDescent="0.3">
      <c r="A119" s="229"/>
      <c r="B119" s="290" t="s">
        <v>1096</v>
      </c>
      <c r="C119" s="334"/>
      <c r="D119" s="334"/>
      <c r="E119" s="334"/>
      <c r="F119" s="173"/>
      <c r="G119" s="173"/>
    </row>
    <row r="120" spans="1:7" x14ac:dyDescent="0.3">
      <c r="A120" s="275" t="s">
        <v>1906</v>
      </c>
      <c r="B120" s="234" t="s">
        <v>1229</v>
      </c>
      <c r="C120" s="229" t="s">
        <v>654</v>
      </c>
      <c r="D120" s="229" t="s">
        <v>654</v>
      </c>
      <c r="E120" s="334"/>
      <c r="F120" s="356" t="str">
        <f t="shared" ref="F120:F143" si="0">IF($C$144=0,"",IF(C120="ND2","",C120/$C$144))</f>
        <v/>
      </c>
      <c r="G120" s="356" t="str">
        <f t="shared" ref="G120:G143" si="1">IF($D$144=0,"",IF(D120="ND2","",D120/$D$144))</f>
        <v/>
      </c>
    </row>
    <row r="121" spans="1:7" x14ac:dyDescent="0.3">
      <c r="A121" s="275" t="s">
        <v>1907</v>
      </c>
      <c r="B121" s="234" t="s">
        <v>1229</v>
      </c>
      <c r="C121" s="229" t="s">
        <v>654</v>
      </c>
      <c r="D121" s="229" t="s">
        <v>654</v>
      </c>
      <c r="E121" s="334"/>
      <c r="F121" s="356" t="str">
        <f t="shared" si="0"/>
        <v/>
      </c>
      <c r="G121" s="356" t="str">
        <f t="shared" si="1"/>
        <v/>
      </c>
    </row>
    <row r="122" spans="1:7" x14ac:dyDescent="0.3">
      <c r="A122" s="275" t="s">
        <v>1908</v>
      </c>
      <c r="B122" s="234" t="s">
        <v>1229</v>
      </c>
      <c r="C122" s="229" t="s">
        <v>654</v>
      </c>
      <c r="D122" s="229" t="s">
        <v>654</v>
      </c>
      <c r="E122" s="334"/>
      <c r="F122" s="356" t="str">
        <f t="shared" si="0"/>
        <v/>
      </c>
      <c r="G122" s="356" t="str">
        <f t="shared" si="1"/>
        <v/>
      </c>
    </row>
    <row r="123" spans="1:7" x14ac:dyDescent="0.3">
      <c r="A123" s="275" t="s">
        <v>1909</v>
      </c>
      <c r="B123" s="234" t="s">
        <v>1229</v>
      </c>
      <c r="C123" s="229" t="s">
        <v>654</v>
      </c>
      <c r="D123" s="229" t="s">
        <v>654</v>
      </c>
      <c r="E123" s="334"/>
      <c r="F123" s="356" t="str">
        <f t="shared" si="0"/>
        <v/>
      </c>
      <c r="G123" s="356" t="str">
        <f t="shared" si="1"/>
        <v/>
      </c>
    </row>
    <row r="124" spans="1:7" x14ac:dyDescent="0.3">
      <c r="A124" s="275" t="s">
        <v>1910</v>
      </c>
      <c r="B124" s="234" t="s">
        <v>1229</v>
      </c>
      <c r="C124" s="229" t="s">
        <v>654</v>
      </c>
      <c r="D124" s="229" t="s">
        <v>654</v>
      </c>
      <c r="E124" s="334"/>
      <c r="F124" s="356" t="str">
        <f t="shared" si="0"/>
        <v/>
      </c>
      <c r="G124" s="356" t="str">
        <f t="shared" si="1"/>
        <v/>
      </c>
    </row>
    <row r="125" spans="1:7" x14ac:dyDescent="0.3">
      <c r="A125" s="275" t="s">
        <v>1911</v>
      </c>
      <c r="B125" s="234" t="s">
        <v>1229</v>
      </c>
      <c r="C125" s="229" t="s">
        <v>654</v>
      </c>
      <c r="D125" s="229" t="s">
        <v>654</v>
      </c>
      <c r="E125" s="334"/>
      <c r="F125" s="356" t="str">
        <f t="shared" si="0"/>
        <v/>
      </c>
      <c r="G125" s="356" t="str">
        <f t="shared" si="1"/>
        <v/>
      </c>
    </row>
    <row r="126" spans="1:7" x14ac:dyDescent="0.3">
      <c r="A126" s="275" t="s">
        <v>1912</v>
      </c>
      <c r="B126" s="234" t="s">
        <v>1229</v>
      </c>
      <c r="C126" s="229" t="s">
        <v>654</v>
      </c>
      <c r="D126" s="229" t="s">
        <v>654</v>
      </c>
      <c r="E126" s="334"/>
      <c r="F126" s="356" t="str">
        <f t="shared" si="0"/>
        <v/>
      </c>
      <c r="G126" s="356" t="str">
        <f t="shared" si="1"/>
        <v/>
      </c>
    </row>
    <row r="127" spans="1:7" x14ac:dyDescent="0.3">
      <c r="A127" s="275" t="s">
        <v>1913</v>
      </c>
      <c r="B127" s="234" t="s">
        <v>1229</v>
      </c>
      <c r="C127" s="229" t="s">
        <v>654</v>
      </c>
      <c r="D127" s="229" t="s">
        <v>654</v>
      </c>
      <c r="E127" s="334"/>
      <c r="F127" s="356" t="str">
        <f t="shared" si="0"/>
        <v/>
      </c>
      <c r="G127" s="356" t="str">
        <f t="shared" si="1"/>
        <v/>
      </c>
    </row>
    <row r="128" spans="1:7" x14ac:dyDescent="0.3">
      <c r="A128" s="275" t="s">
        <v>1914</v>
      </c>
      <c r="B128" s="234" t="s">
        <v>1229</v>
      </c>
      <c r="C128" s="229" t="s">
        <v>654</v>
      </c>
      <c r="D128" s="229" t="s">
        <v>654</v>
      </c>
      <c r="E128" s="334"/>
      <c r="F128" s="356" t="str">
        <f t="shared" si="0"/>
        <v/>
      </c>
      <c r="G128" s="356" t="str">
        <f t="shared" si="1"/>
        <v/>
      </c>
    </row>
    <row r="129" spans="1:7" x14ac:dyDescent="0.3">
      <c r="A129" s="275" t="s">
        <v>1915</v>
      </c>
      <c r="B129" s="234" t="s">
        <v>1229</v>
      </c>
      <c r="C129" s="229" t="s">
        <v>654</v>
      </c>
      <c r="D129" s="229" t="s">
        <v>654</v>
      </c>
      <c r="E129" s="234"/>
      <c r="F129" s="356" t="str">
        <f t="shared" si="0"/>
        <v/>
      </c>
      <c r="G129" s="356" t="str">
        <f t="shared" si="1"/>
        <v/>
      </c>
    </row>
    <row r="130" spans="1:7" x14ac:dyDescent="0.3">
      <c r="A130" s="275" t="s">
        <v>1916</v>
      </c>
      <c r="B130" s="234" t="s">
        <v>1229</v>
      </c>
      <c r="C130" s="229" t="s">
        <v>654</v>
      </c>
      <c r="D130" s="229" t="s">
        <v>654</v>
      </c>
      <c r="E130" s="234"/>
      <c r="F130" s="356" t="str">
        <f t="shared" si="0"/>
        <v/>
      </c>
      <c r="G130" s="356" t="str">
        <f t="shared" si="1"/>
        <v/>
      </c>
    </row>
    <row r="131" spans="1:7" x14ac:dyDescent="0.3">
      <c r="A131" s="275" t="s">
        <v>1917</v>
      </c>
      <c r="B131" s="234" t="s">
        <v>1229</v>
      </c>
      <c r="C131" s="229" t="s">
        <v>654</v>
      </c>
      <c r="D131" s="229" t="s">
        <v>654</v>
      </c>
      <c r="E131" s="234"/>
      <c r="F131" s="356" t="str">
        <f t="shared" si="0"/>
        <v/>
      </c>
      <c r="G131" s="356" t="str">
        <f t="shared" si="1"/>
        <v/>
      </c>
    </row>
    <row r="132" spans="1:7" x14ac:dyDescent="0.3">
      <c r="A132" s="275" t="s">
        <v>1918</v>
      </c>
      <c r="B132" s="234" t="s">
        <v>1229</v>
      </c>
      <c r="C132" s="229" t="s">
        <v>654</v>
      </c>
      <c r="D132" s="229" t="s">
        <v>654</v>
      </c>
      <c r="E132" s="234"/>
      <c r="F132" s="356" t="str">
        <f t="shared" si="0"/>
        <v/>
      </c>
      <c r="G132" s="356" t="str">
        <f t="shared" si="1"/>
        <v/>
      </c>
    </row>
    <row r="133" spans="1:7" x14ac:dyDescent="0.3">
      <c r="A133" s="275" t="s">
        <v>1919</v>
      </c>
      <c r="B133" s="234" t="s">
        <v>1229</v>
      </c>
      <c r="C133" s="229" t="s">
        <v>654</v>
      </c>
      <c r="D133" s="229" t="s">
        <v>654</v>
      </c>
      <c r="E133" s="234"/>
      <c r="F133" s="356" t="str">
        <f t="shared" si="0"/>
        <v/>
      </c>
      <c r="G133" s="356" t="str">
        <f t="shared" si="1"/>
        <v/>
      </c>
    </row>
    <row r="134" spans="1:7" x14ac:dyDescent="0.3">
      <c r="A134" s="275" t="s">
        <v>1920</v>
      </c>
      <c r="B134" s="234" t="s">
        <v>1229</v>
      </c>
      <c r="C134" s="229" t="s">
        <v>654</v>
      </c>
      <c r="D134" s="229" t="s">
        <v>654</v>
      </c>
      <c r="E134" s="234"/>
      <c r="F134" s="356" t="str">
        <f t="shared" si="0"/>
        <v/>
      </c>
      <c r="G134" s="356" t="str">
        <f t="shared" si="1"/>
        <v/>
      </c>
    </row>
    <row r="135" spans="1:7" x14ac:dyDescent="0.3">
      <c r="A135" s="275" t="s">
        <v>1921</v>
      </c>
      <c r="B135" s="234" t="s">
        <v>1229</v>
      </c>
      <c r="C135" s="229" t="s">
        <v>654</v>
      </c>
      <c r="D135" s="229" t="s">
        <v>654</v>
      </c>
      <c r="E135" s="229"/>
      <c r="F135" s="356" t="str">
        <f t="shared" si="0"/>
        <v/>
      </c>
      <c r="G135" s="356" t="str">
        <f t="shared" si="1"/>
        <v/>
      </c>
    </row>
    <row r="136" spans="1:7" x14ac:dyDescent="0.3">
      <c r="A136" s="275" t="s">
        <v>1922</v>
      </c>
      <c r="B136" s="234" t="s">
        <v>1229</v>
      </c>
      <c r="C136" s="229" t="s">
        <v>654</v>
      </c>
      <c r="D136" s="229" t="s">
        <v>654</v>
      </c>
      <c r="E136" s="350"/>
      <c r="F136" s="356" t="str">
        <f t="shared" si="0"/>
        <v/>
      </c>
      <c r="G136" s="356" t="str">
        <f t="shared" si="1"/>
        <v/>
      </c>
    </row>
    <row r="137" spans="1:7" x14ac:dyDescent="0.3">
      <c r="A137" s="275" t="s">
        <v>1923</v>
      </c>
      <c r="B137" s="234" t="s">
        <v>1229</v>
      </c>
      <c r="C137" s="229" t="s">
        <v>654</v>
      </c>
      <c r="D137" s="229" t="s">
        <v>654</v>
      </c>
      <c r="E137" s="350"/>
      <c r="F137" s="356" t="str">
        <f t="shared" si="0"/>
        <v/>
      </c>
      <c r="G137" s="356" t="str">
        <f t="shared" si="1"/>
        <v/>
      </c>
    </row>
    <row r="138" spans="1:7" x14ac:dyDescent="0.3">
      <c r="A138" s="275" t="s">
        <v>1924</v>
      </c>
      <c r="B138" s="234" t="s">
        <v>1229</v>
      </c>
      <c r="C138" s="229" t="s">
        <v>654</v>
      </c>
      <c r="D138" s="229" t="s">
        <v>654</v>
      </c>
      <c r="E138" s="350"/>
      <c r="F138" s="356" t="str">
        <f t="shared" si="0"/>
        <v/>
      </c>
      <c r="G138" s="356" t="str">
        <f t="shared" si="1"/>
        <v/>
      </c>
    </row>
    <row r="139" spans="1:7" x14ac:dyDescent="0.3">
      <c r="A139" s="275" t="s">
        <v>1925</v>
      </c>
      <c r="B139" s="234" t="s">
        <v>1229</v>
      </c>
      <c r="C139" s="229" t="s">
        <v>654</v>
      </c>
      <c r="D139" s="229" t="s">
        <v>654</v>
      </c>
      <c r="E139" s="350"/>
      <c r="F139" s="356" t="str">
        <f t="shared" si="0"/>
        <v/>
      </c>
      <c r="G139" s="356" t="str">
        <f t="shared" si="1"/>
        <v/>
      </c>
    </row>
    <row r="140" spans="1:7" x14ac:dyDescent="0.3">
      <c r="A140" s="275" t="s">
        <v>1926</v>
      </c>
      <c r="B140" s="234" t="s">
        <v>1229</v>
      </c>
      <c r="C140" s="229" t="s">
        <v>654</v>
      </c>
      <c r="D140" s="229" t="s">
        <v>654</v>
      </c>
      <c r="E140" s="350"/>
      <c r="F140" s="356" t="str">
        <f t="shared" si="0"/>
        <v/>
      </c>
      <c r="G140" s="356" t="str">
        <f t="shared" si="1"/>
        <v/>
      </c>
    </row>
    <row r="141" spans="1:7" x14ac:dyDescent="0.3">
      <c r="A141" s="275" t="s">
        <v>1927</v>
      </c>
      <c r="B141" s="234" t="s">
        <v>1229</v>
      </c>
      <c r="C141" s="229" t="s">
        <v>654</v>
      </c>
      <c r="D141" s="229" t="s">
        <v>654</v>
      </c>
      <c r="E141" s="350"/>
      <c r="F141" s="356" t="str">
        <f t="shared" si="0"/>
        <v/>
      </c>
      <c r="G141" s="356" t="str">
        <f t="shared" si="1"/>
        <v/>
      </c>
    </row>
    <row r="142" spans="1:7" x14ac:dyDescent="0.3">
      <c r="A142" s="275" t="s">
        <v>1928</v>
      </c>
      <c r="B142" s="234" t="s">
        <v>1229</v>
      </c>
      <c r="C142" s="229" t="s">
        <v>654</v>
      </c>
      <c r="D142" s="229" t="s">
        <v>654</v>
      </c>
      <c r="E142" s="350"/>
      <c r="F142" s="356" t="str">
        <f t="shared" si="0"/>
        <v/>
      </c>
      <c r="G142" s="356" t="str">
        <f t="shared" si="1"/>
        <v/>
      </c>
    </row>
    <row r="143" spans="1:7" x14ac:dyDescent="0.3">
      <c r="A143" s="275" t="s">
        <v>1929</v>
      </c>
      <c r="B143" s="234" t="s">
        <v>1229</v>
      </c>
      <c r="C143" s="229" t="s">
        <v>654</v>
      </c>
      <c r="D143" s="229" t="s">
        <v>654</v>
      </c>
      <c r="E143" s="350"/>
      <c r="F143" s="356" t="str">
        <f t="shared" si="0"/>
        <v/>
      </c>
      <c r="G143" s="356" t="str">
        <f t="shared" si="1"/>
        <v/>
      </c>
    </row>
    <row r="144" spans="1:7" x14ac:dyDescent="0.3">
      <c r="A144" s="275" t="s">
        <v>1930</v>
      </c>
      <c r="B144" s="367" t="s">
        <v>352</v>
      </c>
      <c r="C144" s="351">
        <f>SUM(C120:C143)</f>
        <v>0</v>
      </c>
      <c r="D144" s="351">
        <f>SUM(D120:D143)</f>
        <v>0</v>
      </c>
      <c r="E144" s="350"/>
      <c r="F144" s="352">
        <f>SUM(F120:F143)</f>
        <v>0</v>
      </c>
      <c r="G144" s="352">
        <f>SUM(G120:G143)</f>
        <v>0</v>
      </c>
    </row>
    <row r="145" spans="1:7" x14ac:dyDescent="0.3">
      <c r="A145" s="289"/>
      <c r="B145" s="347" t="s">
        <v>1931</v>
      </c>
      <c r="C145" s="289" t="s">
        <v>1092</v>
      </c>
      <c r="D145" s="289" t="s">
        <v>1093</v>
      </c>
      <c r="E145" s="353"/>
      <c r="F145" s="289" t="s">
        <v>1805</v>
      </c>
      <c r="G145" s="289" t="s">
        <v>519</v>
      </c>
    </row>
    <row r="146" spans="1:7" x14ac:dyDescent="0.3">
      <c r="A146" s="275" t="s">
        <v>1932</v>
      </c>
      <c r="B146" s="275" t="s">
        <v>1130</v>
      </c>
      <c r="C146" s="236" t="s">
        <v>654</v>
      </c>
      <c r="D146" s="229"/>
      <c r="E146" s="229"/>
      <c r="F146" s="229"/>
      <c r="G146" s="229"/>
    </row>
    <row r="147" spans="1:7" x14ac:dyDescent="0.3">
      <c r="A147" s="229"/>
      <c r="B147" s="229"/>
      <c r="C147" s="229"/>
      <c r="D147" s="229"/>
      <c r="E147" s="229"/>
      <c r="F147" s="229"/>
      <c r="G147" s="229"/>
    </row>
    <row r="148" spans="1:7" x14ac:dyDescent="0.3">
      <c r="A148" s="229"/>
      <c r="B148" s="290" t="s">
        <v>1131</v>
      </c>
      <c r="C148" s="229"/>
      <c r="D148" s="229"/>
      <c r="E148" s="229"/>
      <c r="F148" s="229"/>
      <c r="G148" s="229"/>
    </row>
    <row r="149" spans="1:7" x14ac:dyDescent="0.3">
      <c r="A149" s="275" t="s">
        <v>1933</v>
      </c>
      <c r="B149" s="275" t="s">
        <v>1133</v>
      </c>
      <c r="C149" s="229" t="s">
        <v>654</v>
      </c>
      <c r="D149" s="229" t="s">
        <v>654</v>
      </c>
      <c r="E149" s="229"/>
      <c r="F149" s="356" t="str">
        <f t="shared" ref="F149:F156" si="2">IF($C$157=0,"",IF(C149="ND2","",C149/$C$157))</f>
        <v/>
      </c>
      <c r="G149" s="356" t="str">
        <f t="shared" ref="G149:G156" si="3">IF($D$157=0,"",IF(D149="ND2","",D149/$D$157))</f>
        <v/>
      </c>
    </row>
    <row r="150" spans="1:7" x14ac:dyDescent="0.3">
      <c r="A150" s="275" t="s">
        <v>1934</v>
      </c>
      <c r="B150" s="275" t="s">
        <v>1135</v>
      </c>
      <c r="C150" s="229" t="s">
        <v>654</v>
      </c>
      <c r="D150" s="229" t="s">
        <v>654</v>
      </c>
      <c r="E150" s="229"/>
      <c r="F150" s="356" t="str">
        <f t="shared" si="2"/>
        <v/>
      </c>
      <c r="G150" s="356" t="str">
        <f t="shared" si="3"/>
        <v/>
      </c>
    </row>
    <row r="151" spans="1:7" x14ac:dyDescent="0.3">
      <c r="A151" s="275" t="s">
        <v>1935</v>
      </c>
      <c r="B151" s="275" t="s">
        <v>1137</v>
      </c>
      <c r="C151" s="229" t="s">
        <v>654</v>
      </c>
      <c r="D151" s="229" t="s">
        <v>654</v>
      </c>
      <c r="E151" s="229"/>
      <c r="F151" s="356" t="str">
        <f t="shared" si="2"/>
        <v/>
      </c>
      <c r="G151" s="356" t="str">
        <f t="shared" si="3"/>
        <v/>
      </c>
    </row>
    <row r="152" spans="1:7" x14ac:dyDescent="0.3">
      <c r="A152" s="275" t="s">
        <v>1936</v>
      </c>
      <c r="B152" s="275" t="s">
        <v>1139</v>
      </c>
      <c r="C152" s="229" t="s">
        <v>654</v>
      </c>
      <c r="D152" s="229" t="s">
        <v>654</v>
      </c>
      <c r="E152" s="229"/>
      <c r="F152" s="356" t="str">
        <f t="shared" si="2"/>
        <v/>
      </c>
      <c r="G152" s="356" t="str">
        <f t="shared" si="3"/>
        <v/>
      </c>
    </row>
    <row r="153" spans="1:7" x14ac:dyDescent="0.3">
      <c r="A153" s="275" t="s">
        <v>1937</v>
      </c>
      <c r="B153" s="275" t="s">
        <v>1141</v>
      </c>
      <c r="C153" s="229" t="s">
        <v>654</v>
      </c>
      <c r="D153" s="229" t="s">
        <v>654</v>
      </c>
      <c r="E153" s="229"/>
      <c r="F153" s="356" t="str">
        <f t="shared" si="2"/>
        <v/>
      </c>
      <c r="G153" s="356" t="str">
        <f t="shared" si="3"/>
        <v/>
      </c>
    </row>
    <row r="154" spans="1:7" x14ac:dyDescent="0.3">
      <c r="A154" s="275" t="s">
        <v>1938</v>
      </c>
      <c r="B154" s="275" t="s">
        <v>1143</v>
      </c>
      <c r="C154" s="229" t="s">
        <v>654</v>
      </c>
      <c r="D154" s="229" t="s">
        <v>654</v>
      </c>
      <c r="E154" s="229"/>
      <c r="F154" s="356" t="str">
        <f t="shared" si="2"/>
        <v/>
      </c>
      <c r="G154" s="356" t="str">
        <f t="shared" si="3"/>
        <v/>
      </c>
    </row>
    <row r="155" spans="1:7" x14ac:dyDescent="0.3">
      <c r="A155" s="275" t="s">
        <v>1939</v>
      </c>
      <c r="B155" s="275" t="s">
        <v>1145</v>
      </c>
      <c r="C155" s="229" t="s">
        <v>654</v>
      </c>
      <c r="D155" s="229" t="s">
        <v>654</v>
      </c>
      <c r="E155" s="229"/>
      <c r="F155" s="356" t="str">
        <f t="shared" si="2"/>
        <v/>
      </c>
      <c r="G155" s="356" t="str">
        <f t="shared" si="3"/>
        <v/>
      </c>
    </row>
    <row r="156" spans="1:7" x14ac:dyDescent="0.3">
      <c r="A156" s="275" t="s">
        <v>1940</v>
      </c>
      <c r="B156" s="275" t="s">
        <v>1147</v>
      </c>
      <c r="C156" s="229" t="s">
        <v>654</v>
      </c>
      <c r="D156" s="229" t="s">
        <v>654</v>
      </c>
      <c r="E156" s="229"/>
      <c r="F156" s="356" t="str">
        <f t="shared" si="2"/>
        <v/>
      </c>
      <c r="G156" s="356" t="str">
        <f t="shared" si="3"/>
        <v/>
      </c>
    </row>
    <row r="157" spans="1:7" x14ac:dyDescent="0.3">
      <c r="A157" s="275" t="s">
        <v>1941</v>
      </c>
      <c r="B157" s="295" t="s">
        <v>352</v>
      </c>
      <c r="C157" s="368">
        <f>SUM(C149:C156)</f>
        <v>0</v>
      </c>
      <c r="D157" s="368">
        <f>SUM(D149:D156)</f>
        <v>0</v>
      </c>
      <c r="E157" s="229"/>
      <c r="F157" s="359">
        <f>SUM(F149:F156)</f>
        <v>0</v>
      </c>
      <c r="G157" s="359">
        <f>SUM(G149:G156)</f>
        <v>0</v>
      </c>
    </row>
    <row r="158" spans="1:7" x14ac:dyDescent="0.3">
      <c r="A158" s="275" t="s">
        <v>1942</v>
      </c>
      <c r="B158" s="324" t="s">
        <v>1150</v>
      </c>
      <c r="C158" s="229"/>
      <c r="D158" s="229"/>
      <c r="E158" s="229"/>
      <c r="F158" s="356" t="str">
        <f t="shared" ref="F158:F163" si="4">IF($C$157=0,"",IF(C158="ND2","",C158/$C$157))</f>
        <v/>
      </c>
      <c r="G158" s="356" t="str">
        <f t="shared" ref="G158:G163" si="5">IF($D$157=0,"",IF(D158="ND2","",D158/$D$157))</f>
        <v/>
      </c>
    </row>
    <row r="159" spans="1:7" x14ac:dyDescent="0.3">
      <c r="A159" s="275" t="s">
        <v>1943</v>
      </c>
      <c r="B159" s="324" t="s">
        <v>1152</v>
      </c>
      <c r="C159" s="229"/>
      <c r="D159" s="229"/>
      <c r="E159" s="229"/>
      <c r="F159" s="356" t="str">
        <f t="shared" si="4"/>
        <v/>
      </c>
      <c r="G159" s="356" t="str">
        <f t="shared" si="5"/>
        <v/>
      </c>
    </row>
    <row r="160" spans="1:7" x14ac:dyDescent="0.3">
      <c r="A160" s="275" t="s">
        <v>1944</v>
      </c>
      <c r="B160" s="324" t="s">
        <v>1154</v>
      </c>
      <c r="C160" s="229"/>
      <c r="D160" s="229"/>
      <c r="E160" s="229"/>
      <c r="F160" s="356" t="str">
        <f t="shared" si="4"/>
        <v/>
      </c>
      <c r="G160" s="356" t="str">
        <f t="shared" si="5"/>
        <v/>
      </c>
    </row>
    <row r="161" spans="1:7" x14ac:dyDescent="0.3">
      <c r="A161" s="275" t="s">
        <v>1945</v>
      </c>
      <c r="B161" s="324" t="s">
        <v>1156</v>
      </c>
      <c r="C161" s="229"/>
      <c r="D161" s="229"/>
      <c r="E161" s="229"/>
      <c r="F161" s="356" t="str">
        <f t="shared" si="4"/>
        <v/>
      </c>
      <c r="G161" s="356" t="str">
        <f t="shared" si="5"/>
        <v/>
      </c>
    </row>
    <row r="162" spans="1:7" x14ac:dyDescent="0.3">
      <c r="A162" s="275" t="s">
        <v>1946</v>
      </c>
      <c r="B162" s="324" t="s">
        <v>1158</v>
      </c>
      <c r="C162" s="229"/>
      <c r="D162" s="229"/>
      <c r="E162" s="229"/>
      <c r="F162" s="356" t="str">
        <f t="shared" si="4"/>
        <v/>
      </c>
      <c r="G162" s="356" t="str">
        <f t="shared" si="5"/>
        <v/>
      </c>
    </row>
    <row r="163" spans="1:7" x14ac:dyDescent="0.3">
      <c r="A163" s="275" t="s">
        <v>1947</v>
      </c>
      <c r="B163" s="324" t="s">
        <v>1160</v>
      </c>
      <c r="C163" s="229"/>
      <c r="D163" s="229"/>
      <c r="E163" s="229"/>
      <c r="F163" s="356" t="str">
        <f t="shared" si="4"/>
        <v/>
      </c>
      <c r="G163" s="356" t="str">
        <f t="shared" si="5"/>
        <v/>
      </c>
    </row>
    <row r="164" spans="1:7" x14ac:dyDescent="0.3">
      <c r="A164" s="275" t="s">
        <v>1948</v>
      </c>
      <c r="B164" s="233"/>
      <c r="C164" s="229"/>
      <c r="D164" s="229"/>
      <c r="E164" s="229"/>
      <c r="F164" s="356"/>
      <c r="G164" s="356"/>
    </row>
    <row r="165" spans="1:7" x14ac:dyDescent="0.3">
      <c r="A165" s="275" t="s">
        <v>1949</v>
      </c>
      <c r="B165" s="233"/>
      <c r="C165" s="229"/>
      <c r="D165" s="229"/>
      <c r="E165" s="229"/>
      <c r="F165" s="356"/>
      <c r="G165" s="356"/>
    </row>
    <row r="166" spans="1:7" x14ac:dyDescent="0.3">
      <c r="A166" s="275" t="s">
        <v>1950</v>
      </c>
      <c r="B166" s="233"/>
      <c r="C166" s="229"/>
      <c r="D166" s="229"/>
      <c r="E166" s="229"/>
      <c r="F166" s="356"/>
      <c r="G166" s="356"/>
    </row>
    <row r="167" spans="1:7" x14ac:dyDescent="0.3">
      <c r="A167" s="289"/>
      <c r="B167" s="347" t="s">
        <v>1951</v>
      </c>
      <c r="C167" s="289" t="s">
        <v>1092</v>
      </c>
      <c r="D167" s="289" t="s">
        <v>1093</v>
      </c>
      <c r="E167" s="353"/>
      <c r="F167" s="289" t="s">
        <v>1805</v>
      </c>
      <c r="G167" s="289" t="s">
        <v>519</v>
      </c>
    </row>
    <row r="168" spans="1:7" x14ac:dyDescent="0.3">
      <c r="A168" s="275" t="s">
        <v>1952</v>
      </c>
      <c r="B168" s="275" t="s">
        <v>1130</v>
      </c>
      <c r="C168" s="236" t="s">
        <v>654</v>
      </c>
      <c r="D168" s="229"/>
      <c r="E168" s="229"/>
      <c r="F168" s="229"/>
      <c r="G168" s="229"/>
    </row>
    <row r="169" spans="1:7" x14ac:dyDescent="0.3">
      <c r="A169" s="229"/>
      <c r="B169" s="229"/>
      <c r="C169" s="229"/>
      <c r="D169" s="229"/>
      <c r="E169" s="229"/>
      <c r="F169" s="229"/>
      <c r="G169" s="229"/>
    </row>
    <row r="170" spans="1:7" x14ac:dyDescent="0.3">
      <c r="A170" s="229"/>
      <c r="B170" s="290" t="s">
        <v>1131</v>
      </c>
      <c r="C170" s="229"/>
      <c r="D170" s="229"/>
      <c r="E170" s="229"/>
      <c r="F170" s="229"/>
      <c r="G170" s="229"/>
    </row>
    <row r="171" spans="1:7" x14ac:dyDescent="0.3">
      <c r="A171" s="275" t="s">
        <v>1953</v>
      </c>
      <c r="B171" s="275" t="s">
        <v>1133</v>
      </c>
      <c r="C171" s="229" t="s">
        <v>654</v>
      </c>
      <c r="D171" s="229" t="s">
        <v>654</v>
      </c>
      <c r="E171" s="229"/>
      <c r="F171" s="356" t="str">
        <f t="shared" ref="F171:F178" si="6">IF($C$179=0,"",IF(C171="ND2","",C171/$C$179))</f>
        <v/>
      </c>
      <c r="G171" s="356" t="str">
        <f t="shared" ref="G171:G178" si="7">IF($D$179=0,"",IF(D171="ND2","",D171/$D$179))</f>
        <v/>
      </c>
    </row>
    <row r="172" spans="1:7" x14ac:dyDescent="0.3">
      <c r="A172" s="275" t="s">
        <v>1954</v>
      </c>
      <c r="B172" s="275" t="s">
        <v>1135</v>
      </c>
      <c r="C172" s="229" t="s">
        <v>654</v>
      </c>
      <c r="D172" s="229" t="s">
        <v>654</v>
      </c>
      <c r="E172" s="229"/>
      <c r="F172" s="356" t="str">
        <f t="shared" si="6"/>
        <v/>
      </c>
      <c r="G172" s="356" t="str">
        <f t="shared" si="7"/>
        <v/>
      </c>
    </row>
    <row r="173" spans="1:7" x14ac:dyDescent="0.3">
      <c r="A173" s="275" t="s">
        <v>1955</v>
      </c>
      <c r="B173" s="275" t="s">
        <v>1137</v>
      </c>
      <c r="C173" s="229" t="s">
        <v>654</v>
      </c>
      <c r="D173" s="229" t="s">
        <v>654</v>
      </c>
      <c r="E173" s="229"/>
      <c r="F173" s="356" t="str">
        <f t="shared" si="6"/>
        <v/>
      </c>
      <c r="G173" s="356" t="str">
        <f t="shared" si="7"/>
        <v/>
      </c>
    </row>
    <row r="174" spans="1:7" x14ac:dyDescent="0.3">
      <c r="A174" s="275" t="s">
        <v>1956</v>
      </c>
      <c r="B174" s="275" t="s">
        <v>1139</v>
      </c>
      <c r="C174" s="229" t="s">
        <v>654</v>
      </c>
      <c r="D174" s="229" t="s">
        <v>654</v>
      </c>
      <c r="E174" s="229"/>
      <c r="F174" s="356" t="str">
        <f t="shared" si="6"/>
        <v/>
      </c>
      <c r="G174" s="356" t="str">
        <f t="shared" si="7"/>
        <v/>
      </c>
    </row>
    <row r="175" spans="1:7" x14ac:dyDescent="0.3">
      <c r="A175" s="275" t="s">
        <v>1957</v>
      </c>
      <c r="B175" s="275" t="s">
        <v>1141</v>
      </c>
      <c r="C175" s="229" t="s">
        <v>654</v>
      </c>
      <c r="D175" s="229" t="s">
        <v>654</v>
      </c>
      <c r="E175" s="229"/>
      <c r="F175" s="356" t="str">
        <f t="shared" si="6"/>
        <v/>
      </c>
      <c r="G175" s="356" t="str">
        <f t="shared" si="7"/>
        <v/>
      </c>
    </row>
    <row r="176" spans="1:7" x14ac:dyDescent="0.3">
      <c r="A176" s="275" t="s">
        <v>1958</v>
      </c>
      <c r="B176" s="275" t="s">
        <v>1143</v>
      </c>
      <c r="C176" s="229" t="s">
        <v>654</v>
      </c>
      <c r="D176" s="229" t="s">
        <v>654</v>
      </c>
      <c r="E176" s="229"/>
      <c r="F176" s="356" t="str">
        <f t="shared" si="6"/>
        <v/>
      </c>
      <c r="G176" s="356" t="str">
        <f t="shared" si="7"/>
        <v/>
      </c>
    </row>
    <row r="177" spans="1:7" x14ac:dyDescent="0.3">
      <c r="A177" s="275" t="s">
        <v>1959</v>
      </c>
      <c r="B177" s="275" t="s">
        <v>1145</v>
      </c>
      <c r="C177" s="229" t="s">
        <v>654</v>
      </c>
      <c r="D177" s="229" t="s">
        <v>654</v>
      </c>
      <c r="E177" s="229"/>
      <c r="F177" s="356" t="str">
        <f t="shared" si="6"/>
        <v/>
      </c>
      <c r="G177" s="356" t="str">
        <f t="shared" si="7"/>
        <v/>
      </c>
    </row>
    <row r="178" spans="1:7" x14ac:dyDescent="0.3">
      <c r="A178" s="275" t="s">
        <v>1960</v>
      </c>
      <c r="B178" s="275" t="s">
        <v>1147</v>
      </c>
      <c r="C178" s="229" t="s">
        <v>654</v>
      </c>
      <c r="D178" s="229" t="s">
        <v>654</v>
      </c>
      <c r="E178" s="229"/>
      <c r="F178" s="356" t="str">
        <f t="shared" si="6"/>
        <v/>
      </c>
      <c r="G178" s="356" t="str">
        <f t="shared" si="7"/>
        <v/>
      </c>
    </row>
    <row r="179" spans="1:7" x14ac:dyDescent="0.3">
      <c r="A179" s="275" t="s">
        <v>1961</v>
      </c>
      <c r="B179" s="295" t="s">
        <v>352</v>
      </c>
      <c r="C179" s="368">
        <f>SUM(C171:C178)</f>
        <v>0</v>
      </c>
      <c r="D179" s="368">
        <f>SUM(D171:D178)</f>
        <v>0</v>
      </c>
      <c r="E179" s="229"/>
      <c r="F179" s="359">
        <f>SUM(F171:F178)</f>
        <v>0</v>
      </c>
      <c r="G179" s="359">
        <f>SUM(G171:G178)</f>
        <v>0</v>
      </c>
    </row>
    <row r="180" spans="1:7" x14ac:dyDescent="0.3">
      <c r="A180" s="275" t="s">
        <v>1962</v>
      </c>
      <c r="B180" s="324" t="s">
        <v>1150</v>
      </c>
      <c r="C180" s="229"/>
      <c r="D180" s="229"/>
      <c r="E180" s="229"/>
      <c r="F180" s="356" t="str">
        <f t="shared" ref="F180:F185" si="8">IF($C$179=0,"",IF(C180="ND2","",C180/$C$179))</f>
        <v/>
      </c>
      <c r="G180" s="356" t="str">
        <f t="shared" ref="G180:G185" si="9">IF($D$179=0,"",IF(D180="ND2","",D180/$D$179))</f>
        <v/>
      </c>
    </row>
    <row r="181" spans="1:7" x14ac:dyDescent="0.3">
      <c r="A181" s="275" t="s">
        <v>1963</v>
      </c>
      <c r="B181" s="324" t="s">
        <v>1152</v>
      </c>
      <c r="C181" s="229"/>
      <c r="D181" s="229"/>
      <c r="E181" s="229"/>
      <c r="F181" s="356" t="str">
        <f t="shared" si="8"/>
        <v/>
      </c>
      <c r="G181" s="356" t="str">
        <f t="shared" si="9"/>
        <v/>
      </c>
    </row>
    <row r="182" spans="1:7" x14ac:dyDescent="0.3">
      <c r="A182" s="275" t="s">
        <v>1964</v>
      </c>
      <c r="B182" s="324" t="s">
        <v>1154</v>
      </c>
      <c r="C182" s="229"/>
      <c r="D182" s="229"/>
      <c r="E182" s="229"/>
      <c r="F182" s="356" t="str">
        <f t="shared" si="8"/>
        <v/>
      </c>
      <c r="G182" s="356" t="str">
        <f t="shared" si="9"/>
        <v/>
      </c>
    </row>
    <row r="183" spans="1:7" x14ac:dyDescent="0.3">
      <c r="A183" s="275" t="s">
        <v>1965</v>
      </c>
      <c r="B183" s="324" t="s">
        <v>1156</v>
      </c>
      <c r="C183" s="229"/>
      <c r="D183" s="229"/>
      <c r="E183" s="229"/>
      <c r="F183" s="356" t="str">
        <f t="shared" si="8"/>
        <v/>
      </c>
      <c r="G183" s="356" t="str">
        <f t="shared" si="9"/>
        <v/>
      </c>
    </row>
    <row r="184" spans="1:7" x14ac:dyDescent="0.3">
      <c r="A184" s="275" t="s">
        <v>1966</v>
      </c>
      <c r="B184" s="324" t="s">
        <v>1158</v>
      </c>
      <c r="C184" s="229"/>
      <c r="D184" s="229"/>
      <c r="E184" s="229"/>
      <c r="F184" s="356" t="str">
        <f t="shared" si="8"/>
        <v/>
      </c>
      <c r="G184" s="356" t="str">
        <f t="shared" si="9"/>
        <v/>
      </c>
    </row>
    <row r="185" spans="1:7" x14ac:dyDescent="0.3">
      <c r="A185" s="275" t="s">
        <v>1967</v>
      </c>
      <c r="B185" s="324" t="s">
        <v>1160</v>
      </c>
      <c r="C185" s="229"/>
      <c r="D185" s="229"/>
      <c r="E185" s="229"/>
      <c r="F185" s="356" t="str">
        <f t="shared" si="8"/>
        <v/>
      </c>
      <c r="G185" s="356" t="str">
        <f t="shared" si="9"/>
        <v/>
      </c>
    </row>
    <row r="186" spans="1:7" x14ac:dyDescent="0.3">
      <c r="A186" s="275" t="s">
        <v>1968</v>
      </c>
      <c r="B186" s="233"/>
      <c r="C186" s="229"/>
      <c r="D186" s="229"/>
      <c r="E186" s="229"/>
      <c r="F186" s="356"/>
      <c r="G186" s="356"/>
    </row>
    <row r="187" spans="1:7" x14ac:dyDescent="0.3">
      <c r="A187" s="275" t="s">
        <v>1969</v>
      </c>
      <c r="B187" s="233"/>
      <c r="C187" s="229"/>
      <c r="D187" s="229"/>
      <c r="E187" s="229"/>
      <c r="F187" s="356"/>
      <c r="G187" s="356"/>
    </row>
    <row r="188" spans="1:7" x14ac:dyDescent="0.3">
      <c r="A188" s="275" t="s">
        <v>1970</v>
      </c>
      <c r="B188" s="233"/>
      <c r="C188" s="229"/>
      <c r="D188" s="229"/>
      <c r="E188" s="229"/>
      <c r="F188" s="356"/>
      <c r="G188" s="356"/>
    </row>
    <row r="189" spans="1:7" x14ac:dyDescent="0.3">
      <c r="A189" s="289"/>
      <c r="B189" s="347" t="s">
        <v>1971</v>
      </c>
      <c r="C189" s="289" t="s">
        <v>1805</v>
      </c>
      <c r="D189" s="289"/>
      <c r="E189" s="353"/>
      <c r="F189" s="289"/>
      <c r="G189" s="289"/>
    </row>
    <row r="190" spans="1:7" x14ac:dyDescent="0.3">
      <c r="A190" s="275" t="s">
        <v>1972</v>
      </c>
      <c r="B190" s="234" t="s">
        <v>1229</v>
      </c>
      <c r="C190" s="236" t="s">
        <v>654</v>
      </c>
      <c r="D190" s="229"/>
      <c r="E190" s="350"/>
      <c r="F190" s="350"/>
      <c r="G190" s="350"/>
    </row>
    <row r="191" spans="1:7" x14ac:dyDescent="0.3">
      <c r="A191" s="275" t="s">
        <v>1973</v>
      </c>
      <c r="B191" s="234" t="s">
        <v>1229</v>
      </c>
      <c r="C191" s="236" t="s">
        <v>654</v>
      </c>
      <c r="D191" s="229"/>
      <c r="E191" s="350"/>
      <c r="F191" s="350"/>
      <c r="G191" s="350"/>
    </row>
    <row r="192" spans="1:7" x14ac:dyDescent="0.3">
      <c r="A192" s="275" t="s">
        <v>1974</v>
      </c>
      <c r="B192" s="234" t="s">
        <v>1229</v>
      </c>
      <c r="C192" s="236" t="s">
        <v>654</v>
      </c>
      <c r="D192" s="229"/>
      <c r="E192" s="350"/>
      <c r="F192" s="350"/>
      <c r="G192" s="350"/>
    </row>
    <row r="193" spans="1:7" x14ac:dyDescent="0.3">
      <c r="A193" s="275" t="s">
        <v>1975</v>
      </c>
      <c r="B193" s="234" t="s">
        <v>1229</v>
      </c>
      <c r="C193" s="236" t="s">
        <v>654</v>
      </c>
      <c r="D193" s="229"/>
      <c r="E193" s="350"/>
      <c r="F193" s="350"/>
      <c r="G193" s="350"/>
    </row>
    <row r="194" spans="1:7" x14ac:dyDescent="0.3">
      <c r="A194" s="275" t="s">
        <v>1976</v>
      </c>
      <c r="B194" s="234" t="s">
        <v>1229</v>
      </c>
      <c r="C194" s="236" t="s">
        <v>654</v>
      </c>
      <c r="D194" s="229"/>
      <c r="E194" s="350"/>
      <c r="F194" s="350"/>
      <c r="G194" s="350"/>
    </row>
    <row r="195" spans="1:7" x14ac:dyDescent="0.3">
      <c r="A195" s="275" t="s">
        <v>1977</v>
      </c>
      <c r="B195" s="234" t="s">
        <v>1229</v>
      </c>
      <c r="C195" s="236" t="s">
        <v>654</v>
      </c>
      <c r="D195" s="229"/>
      <c r="E195" s="350"/>
      <c r="F195" s="350"/>
      <c r="G195" s="350"/>
    </row>
    <row r="196" spans="1:7" x14ac:dyDescent="0.3">
      <c r="A196" s="275" t="s">
        <v>1978</v>
      </c>
      <c r="B196" s="234" t="s">
        <v>1229</v>
      </c>
      <c r="C196" s="236" t="s">
        <v>654</v>
      </c>
      <c r="D196" s="229"/>
      <c r="E196" s="350"/>
      <c r="F196" s="350"/>
      <c r="G196" s="350"/>
    </row>
    <row r="197" spans="1:7" x14ac:dyDescent="0.3">
      <c r="A197" s="275" t="s">
        <v>1979</v>
      </c>
      <c r="B197" s="234" t="s">
        <v>1229</v>
      </c>
      <c r="C197" s="236" t="s">
        <v>654</v>
      </c>
      <c r="D197" s="229"/>
      <c r="E197" s="350"/>
      <c r="F197" s="350"/>
      <c r="G197" s="170"/>
    </row>
    <row r="198" spans="1:7" x14ac:dyDescent="0.3">
      <c r="A198" s="275" t="s">
        <v>1980</v>
      </c>
      <c r="B198" s="234" t="s">
        <v>1229</v>
      </c>
      <c r="C198" s="236" t="s">
        <v>654</v>
      </c>
      <c r="D198" s="229"/>
      <c r="E198" s="350"/>
      <c r="F198" s="350"/>
      <c r="G198" s="170"/>
    </row>
    <row r="199" spans="1:7" x14ac:dyDescent="0.3">
      <c r="A199" s="275" t="s">
        <v>1981</v>
      </c>
      <c r="B199" s="234" t="s">
        <v>1229</v>
      </c>
      <c r="C199" s="236" t="s">
        <v>654</v>
      </c>
      <c r="D199" s="229"/>
      <c r="E199" s="350"/>
      <c r="F199" s="350"/>
      <c r="G199" s="170"/>
    </row>
    <row r="200" spans="1:7" x14ac:dyDescent="0.3">
      <c r="A200" s="275" t="s">
        <v>1982</v>
      </c>
      <c r="B200" s="234" t="s">
        <v>1229</v>
      </c>
      <c r="C200" s="236" t="s">
        <v>654</v>
      </c>
      <c r="D200" s="229"/>
      <c r="E200" s="350"/>
      <c r="F200" s="350"/>
      <c r="G200" s="170"/>
    </row>
    <row r="201" spans="1:7" x14ac:dyDescent="0.3">
      <c r="A201" s="275" t="s">
        <v>1983</v>
      </c>
      <c r="B201" s="234" t="s">
        <v>1229</v>
      </c>
      <c r="C201" s="236" t="s">
        <v>654</v>
      </c>
      <c r="D201" s="229"/>
      <c r="E201" s="350"/>
      <c r="F201" s="350"/>
      <c r="G201" s="170"/>
    </row>
    <row r="202" spans="1:7" x14ac:dyDescent="0.3">
      <c r="A202" s="275" t="s">
        <v>1984</v>
      </c>
      <c r="B202" s="234" t="s">
        <v>1229</v>
      </c>
      <c r="C202" s="236" t="s">
        <v>654</v>
      </c>
      <c r="D202" s="229"/>
      <c r="E202" s="229"/>
      <c r="F202" s="229"/>
      <c r="G202" s="170"/>
    </row>
    <row r="203" spans="1:7" x14ac:dyDescent="0.3">
      <c r="A203" s="275" t="s">
        <v>1985</v>
      </c>
      <c r="B203" s="234" t="s">
        <v>1229</v>
      </c>
      <c r="C203" s="236" t="s">
        <v>654</v>
      </c>
      <c r="D203" s="229"/>
      <c r="E203" s="229"/>
      <c r="F203" s="229"/>
      <c r="G203" s="170"/>
    </row>
    <row r="204" spans="1:7" x14ac:dyDescent="0.3">
      <c r="A204" s="275" t="s">
        <v>1986</v>
      </c>
      <c r="B204" s="234" t="s">
        <v>1229</v>
      </c>
      <c r="C204" s="236" t="s">
        <v>654</v>
      </c>
      <c r="D204" s="229"/>
      <c r="E204" s="229"/>
      <c r="F204" s="229"/>
      <c r="G204" s="170"/>
    </row>
    <row r="205" spans="1:7" x14ac:dyDescent="0.3">
      <c r="A205" s="275" t="s">
        <v>1987</v>
      </c>
      <c r="B205" s="234" t="s">
        <v>1229</v>
      </c>
      <c r="C205" s="236" t="s">
        <v>654</v>
      </c>
      <c r="D205" s="229"/>
      <c r="E205" s="229"/>
      <c r="F205" s="229"/>
      <c r="G205" s="170"/>
    </row>
    <row r="206" spans="1:7" x14ac:dyDescent="0.3">
      <c r="A206" s="275" t="s">
        <v>1988</v>
      </c>
      <c r="B206" s="234" t="s">
        <v>1229</v>
      </c>
      <c r="C206" s="236" t="s">
        <v>654</v>
      </c>
      <c r="D206" s="229"/>
      <c r="E206" s="229"/>
      <c r="F206" s="229"/>
      <c r="G206" s="170"/>
    </row>
    <row r="207" spans="1:7" x14ac:dyDescent="0.3">
      <c r="A207" s="275" t="s">
        <v>1989</v>
      </c>
      <c r="B207" s="229"/>
      <c r="C207" s="229"/>
      <c r="D207" s="229"/>
      <c r="E207" s="229"/>
      <c r="F207" s="229"/>
      <c r="G207" s="170"/>
    </row>
    <row r="208" spans="1:7" x14ac:dyDescent="0.3">
      <c r="A208" s="275" t="s">
        <v>1990</v>
      </c>
      <c r="B208" s="229"/>
      <c r="C208" s="229"/>
      <c r="D208" s="229"/>
      <c r="E208" s="229"/>
      <c r="F208" s="229"/>
      <c r="G208" s="170"/>
    </row>
    <row r="209" spans="1:7" x14ac:dyDescent="0.3">
      <c r="A209" s="275" t="s">
        <v>1991</v>
      </c>
      <c r="B209" s="229"/>
      <c r="C209" s="229"/>
      <c r="D209" s="229"/>
      <c r="E209" s="229"/>
      <c r="F209" s="229"/>
      <c r="G209" s="170"/>
    </row>
    <row r="210" spans="1:7" x14ac:dyDescent="0.3">
      <c r="A210" s="275" t="s">
        <v>1992</v>
      </c>
      <c r="B210" s="229"/>
      <c r="C210" s="229"/>
      <c r="D210" s="229"/>
      <c r="E210" s="229"/>
      <c r="F210" s="229"/>
      <c r="G210" s="170"/>
    </row>
    <row r="211" spans="1:7" x14ac:dyDescent="0.3">
      <c r="A211" s="275" t="s">
        <v>1993</v>
      </c>
      <c r="B211" s="229"/>
      <c r="C211" s="229"/>
      <c r="D211" s="229"/>
      <c r="E211" s="229"/>
      <c r="F211" s="229"/>
      <c r="G211" s="170"/>
    </row>
    <row r="212" spans="1:7" s="360" customFormat="1" x14ac:dyDescent="0.3">
      <c r="A212" s="369"/>
      <c r="B212" s="336" t="s">
        <v>1994</v>
      </c>
      <c r="C212" s="369" t="s">
        <v>1805</v>
      </c>
      <c r="D212" s="369" t="s">
        <v>1995</v>
      </c>
      <c r="E212" s="370"/>
      <c r="F212" s="369"/>
      <c r="G212" s="369"/>
    </row>
    <row r="213" spans="1:7" s="360" customFormat="1" x14ac:dyDescent="0.3">
      <c r="A213" s="275" t="s">
        <v>1996</v>
      </c>
      <c r="B213" s="232" t="s">
        <v>1229</v>
      </c>
      <c r="C213" s="236" t="s">
        <v>654</v>
      </c>
      <c r="D213" s="235"/>
      <c r="E213" s="229"/>
      <c r="F213" s="229"/>
      <c r="G213" s="170"/>
    </row>
    <row r="214" spans="1:7" s="360" customFormat="1" x14ac:dyDescent="0.3">
      <c r="A214" s="275" t="s">
        <v>1997</v>
      </c>
      <c r="B214" s="232" t="s">
        <v>1229</v>
      </c>
      <c r="C214" s="236" t="s">
        <v>654</v>
      </c>
      <c r="D214" s="235"/>
      <c r="E214" s="229"/>
      <c r="F214" s="229"/>
      <c r="G214" s="170"/>
    </row>
    <row r="215" spans="1:7" s="360" customFormat="1" x14ac:dyDescent="0.3">
      <c r="A215" s="275" t="s">
        <v>1998</v>
      </c>
      <c r="B215" s="232" t="s">
        <v>1229</v>
      </c>
      <c r="C215" s="236" t="s">
        <v>654</v>
      </c>
      <c r="D215" s="235"/>
      <c r="E215" s="229"/>
      <c r="F215" s="229"/>
      <c r="G215" s="170"/>
    </row>
    <row r="216" spans="1:7" s="360" customFormat="1" x14ac:dyDescent="0.3">
      <c r="A216" s="275" t="s">
        <v>1999</v>
      </c>
      <c r="B216" s="232" t="s">
        <v>1229</v>
      </c>
      <c r="C216" s="236" t="s">
        <v>654</v>
      </c>
      <c r="D216" s="235"/>
      <c r="E216" s="229"/>
      <c r="F216" s="229"/>
      <c r="G216" s="170"/>
    </row>
    <row r="217" spans="1:7" s="360" customFormat="1" x14ac:dyDescent="0.3">
      <c r="A217" s="275" t="s">
        <v>2000</v>
      </c>
      <c r="B217" s="232" t="s">
        <v>1229</v>
      </c>
      <c r="C217" s="236" t="s">
        <v>654</v>
      </c>
      <c r="D217" s="235"/>
      <c r="E217" s="229"/>
      <c r="F217" s="229"/>
      <c r="G217" s="170"/>
    </row>
    <row r="218" spans="1:7" s="360" customFormat="1" x14ac:dyDescent="0.3">
      <c r="A218" s="275" t="s">
        <v>2001</v>
      </c>
      <c r="B218" s="232" t="s">
        <v>1229</v>
      </c>
      <c r="C218" s="236" t="s">
        <v>654</v>
      </c>
      <c r="D218" s="235"/>
      <c r="E218" s="229"/>
      <c r="F218" s="229"/>
      <c r="G218" s="170"/>
    </row>
    <row r="219" spans="1:7" s="360" customFormat="1" x14ac:dyDescent="0.3">
      <c r="A219" s="275" t="s">
        <v>2002</v>
      </c>
      <c r="B219" s="232" t="s">
        <v>1229</v>
      </c>
      <c r="C219" s="236" t="s">
        <v>654</v>
      </c>
      <c r="D219" s="235"/>
      <c r="E219" s="229"/>
      <c r="F219" s="229"/>
      <c r="G219" s="170"/>
    </row>
    <row r="220" spans="1:7" s="360" customFormat="1" x14ac:dyDescent="0.3">
      <c r="A220" s="275" t="s">
        <v>2003</v>
      </c>
      <c r="B220" s="232" t="s">
        <v>1229</v>
      </c>
      <c r="C220" s="236" t="s">
        <v>654</v>
      </c>
      <c r="D220" s="235"/>
      <c r="E220" s="229"/>
      <c r="F220" s="229"/>
      <c r="G220" s="170"/>
    </row>
    <row r="221" spans="1:7" s="360" customFormat="1" x14ac:dyDescent="0.3">
      <c r="A221" s="275" t="s">
        <v>2004</v>
      </c>
      <c r="B221" s="232" t="s">
        <v>1229</v>
      </c>
      <c r="C221" s="236" t="s">
        <v>654</v>
      </c>
      <c r="D221" s="235"/>
      <c r="E221" s="229"/>
      <c r="F221" s="229"/>
      <c r="G221" s="170"/>
    </row>
    <row r="222" spans="1:7" s="360" customFormat="1" x14ac:dyDescent="0.3">
      <c r="A222" s="275" t="s">
        <v>2005</v>
      </c>
      <c r="B222" s="232" t="s">
        <v>1229</v>
      </c>
      <c r="C222" s="236" t="s">
        <v>654</v>
      </c>
      <c r="D222" s="235"/>
      <c r="E222" s="229"/>
      <c r="F222" s="229"/>
      <c r="G222" s="170"/>
    </row>
    <row r="223" spans="1:7" s="360" customFormat="1" x14ac:dyDescent="0.3">
      <c r="A223" s="275" t="s">
        <v>2006</v>
      </c>
      <c r="B223" s="232" t="s">
        <v>1229</v>
      </c>
      <c r="C223" s="236" t="s">
        <v>654</v>
      </c>
      <c r="D223" s="235"/>
      <c r="E223" s="229"/>
      <c r="F223" s="229"/>
      <c r="G223" s="170"/>
    </row>
    <row r="224" spans="1:7" s="360" customFormat="1" x14ac:dyDescent="0.3">
      <c r="A224" s="275" t="s">
        <v>2007</v>
      </c>
      <c r="B224" s="232" t="s">
        <v>1229</v>
      </c>
      <c r="C224" s="236" t="s">
        <v>654</v>
      </c>
      <c r="D224" s="235"/>
      <c r="E224" s="229"/>
      <c r="F224" s="229"/>
      <c r="G224" s="170"/>
    </row>
    <row r="225" spans="1:7" s="360" customFormat="1" x14ac:dyDescent="0.3">
      <c r="A225" s="275" t="s">
        <v>2008</v>
      </c>
      <c r="B225" s="232" t="s">
        <v>1229</v>
      </c>
      <c r="C225" s="236" t="s">
        <v>654</v>
      </c>
      <c r="D225" s="235"/>
      <c r="E225" s="229"/>
      <c r="F225" s="229"/>
      <c r="G225" s="170"/>
    </row>
    <row r="226" spans="1:7" s="360" customFormat="1" x14ac:dyDescent="0.3">
      <c r="A226" s="275" t="s">
        <v>2009</v>
      </c>
      <c r="B226" s="232" t="s">
        <v>1229</v>
      </c>
      <c r="C226" s="236" t="s">
        <v>654</v>
      </c>
      <c r="D226" s="235"/>
      <c r="E226" s="229"/>
      <c r="F226" s="229"/>
      <c r="G226" s="170"/>
    </row>
    <row r="227" spans="1:7" s="360" customFormat="1" x14ac:dyDescent="0.3">
      <c r="A227" s="275" t="s">
        <v>2010</v>
      </c>
      <c r="B227" s="232" t="s">
        <v>1229</v>
      </c>
      <c r="C227" s="236" t="s">
        <v>654</v>
      </c>
      <c r="D227" s="235"/>
      <c r="E227" s="229"/>
      <c r="F227" s="229"/>
      <c r="G227" s="170"/>
    </row>
    <row r="228" spans="1:7" s="360" customFormat="1" x14ac:dyDescent="0.3">
      <c r="A228" s="275" t="s">
        <v>2011</v>
      </c>
      <c r="B228" s="232" t="s">
        <v>1229</v>
      </c>
      <c r="C228" s="236" t="s">
        <v>654</v>
      </c>
      <c r="D228" s="235"/>
      <c r="E228" s="229"/>
      <c r="F228" s="229"/>
      <c r="G228" s="170"/>
    </row>
    <row r="229" spans="1:7" s="360" customFormat="1" x14ac:dyDescent="0.3">
      <c r="A229" s="275" t="s">
        <v>2012</v>
      </c>
      <c r="B229" s="232" t="s">
        <v>1229</v>
      </c>
      <c r="C229" s="236" t="s">
        <v>654</v>
      </c>
      <c r="D229" s="235"/>
      <c r="E229" s="229"/>
      <c r="F229" s="229"/>
      <c r="G229" s="170"/>
    </row>
    <row r="230" spans="1:7" s="360" customFormat="1" x14ac:dyDescent="0.3">
      <c r="A230" s="275" t="s">
        <v>2013</v>
      </c>
      <c r="B230" s="234"/>
      <c r="C230" s="236"/>
      <c r="D230" s="237"/>
      <c r="E230" s="229"/>
      <c r="F230" s="229"/>
      <c r="G230" s="170"/>
    </row>
    <row r="231" spans="1:7" s="360" customFormat="1" x14ac:dyDescent="0.3">
      <c r="A231" s="275" t="s">
        <v>2014</v>
      </c>
      <c r="B231" s="234"/>
      <c r="C231" s="236"/>
      <c r="D231" s="237"/>
      <c r="E231" s="229"/>
      <c r="F231" s="229"/>
      <c r="G231" s="170"/>
    </row>
    <row r="232" spans="1:7" s="360" customFormat="1" x14ac:dyDescent="0.3">
      <c r="A232" s="275" t="s">
        <v>2015</v>
      </c>
      <c r="B232" s="234"/>
      <c r="C232" s="236"/>
      <c r="D232" s="237"/>
      <c r="E232" s="229"/>
      <c r="F232" s="229"/>
      <c r="G232" s="170"/>
    </row>
    <row r="233" spans="1:7" s="360" customFormat="1" x14ac:dyDescent="0.3">
      <c r="A233" s="275" t="s">
        <v>2016</v>
      </c>
      <c r="B233" s="234"/>
      <c r="C233" s="236"/>
      <c r="D233" s="237"/>
      <c r="E233" s="229"/>
      <c r="F233" s="229"/>
      <c r="G233" s="170"/>
    </row>
    <row r="234" spans="1:7" s="360" customFormat="1" x14ac:dyDescent="0.3">
      <c r="A234" s="275" t="s">
        <v>2017</v>
      </c>
      <c r="B234" s="234"/>
      <c r="C234" s="236"/>
      <c r="D234" s="237"/>
      <c r="E234" s="229"/>
      <c r="F234" s="229"/>
      <c r="G234" s="170"/>
    </row>
    <row r="235" spans="1:7" s="360" customFormat="1" x14ac:dyDescent="0.3">
      <c r="A235" s="369"/>
      <c r="B235" s="336" t="s">
        <v>2018</v>
      </c>
      <c r="C235" s="369" t="s">
        <v>1805</v>
      </c>
      <c r="D235" s="369" t="s">
        <v>1995</v>
      </c>
      <c r="E235" s="370"/>
      <c r="F235" s="369"/>
      <c r="G235" s="369"/>
    </row>
    <row r="236" spans="1:7" s="360" customFormat="1" x14ac:dyDescent="0.3">
      <c r="A236" s="275" t="s">
        <v>2019</v>
      </c>
      <c r="B236" s="232" t="s">
        <v>1229</v>
      </c>
      <c r="C236" s="236" t="s">
        <v>654</v>
      </c>
      <c r="D236" s="235"/>
      <c r="E236" s="229"/>
      <c r="F236" s="229"/>
      <c r="G236" s="170"/>
    </row>
    <row r="237" spans="1:7" s="360" customFormat="1" x14ac:dyDescent="0.3">
      <c r="A237" s="275" t="s">
        <v>2020</v>
      </c>
      <c r="B237" s="232" t="s">
        <v>1229</v>
      </c>
      <c r="C237" s="236" t="s">
        <v>654</v>
      </c>
      <c r="D237" s="235"/>
      <c r="E237" s="229"/>
      <c r="F237" s="229"/>
      <c r="G237" s="170"/>
    </row>
    <row r="238" spans="1:7" s="360" customFormat="1" x14ac:dyDescent="0.3">
      <c r="A238" s="275" t="s">
        <v>2021</v>
      </c>
      <c r="B238" s="232" t="s">
        <v>1229</v>
      </c>
      <c r="C238" s="236" t="s">
        <v>654</v>
      </c>
      <c r="D238" s="235"/>
      <c r="E238" s="229"/>
      <c r="F238" s="229"/>
      <c r="G238" s="170"/>
    </row>
    <row r="239" spans="1:7" s="360" customFormat="1" x14ac:dyDescent="0.3">
      <c r="A239" s="275" t="s">
        <v>2022</v>
      </c>
      <c r="B239" s="232" t="s">
        <v>1229</v>
      </c>
      <c r="C239" s="236" t="s">
        <v>654</v>
      </c>
      <c r="D239" s="235"/>
      <c r="E239" s="229"/>
      <c r="F239" s="229"/>
      <c r="G239" s="170"/>
    </row>
    <row r="240" spans="1:7" s="360" customFormat="1" x14ac:dyDescent="0.3">
      <c r="A240" s="275" t="s">
        <v>2023</v>
      </c>
      <c r="B240" s="232" t="s">
        <v>1229</v>
      </c>
      <c r="C240" s="236" t="s">
        <v>654</v>
      </c>
      <c r="D240" s="235"/>
      <c r="E240" s="229"/>
      <c r="F240" s="229"/>
      <c r="G240" s="170"/>
    </row>
    <row r="241" spans="1:7" s="360" customFormat="1" x14ac:dyDescent="0.3">
      <c r="A241" s="275" t="s">
        <v>2024</v>
      </c>
      <c r="B241" s="232" t="s">
        <v>1229</v>
      </c>
      <c r="C241" s="236" t="s">
        <v>654</v>
      </c>
      <c r="D241" s="235"/>
      <c r="E241" s="229"/>
      <c r="F241" s="229"/>
      <c r="G241" s="170"/>
    </row>
    <row r="242" spans="1:7" s="360" customFormat="1" x14ac:dyDescent="0.3">
      <c r="A242" s="275" t="s">
        <v>2025</v>
      </c>
      <c r="B242" s="232" t="s">
        <v>1229</v>
      </c>
      <c r="C242" s="236" t="s">
        <v>654</v>
      </c>
      <c r="D242" s="235"/>
      <c r="E242" s="229"/>
      <c r="F242" s="229"/>
      <c r="G242" s="170"/>
    </row>
    <row r="243" spans="1:7" s="360" customFormat="1" x14ac:dyDescent="0.3">
      <c r="A243" s="275" t="s">
        <v>2026</v>
      </c>
      <c r="B243" s="232" t="s">
        <v>1229</v>
      </c>
      <c r="C243" s="236" t="s">
        <v>654</v>
      </c>
      <c r="D243" s="235"/>
      <c r="E243" s="229"/>
      <c r="F243" s="229"/>
      <c r="G243" s="170"/>
    </row>
    <row r="244" spans="1:7" s="360" customFormat="1" x14ac:dyDescent="0.3">
      <c r="A244" s="275" t="s">
        <v>2027</v>
      </c>
      <c r="B244" s="232" t="s">
        <v>1229</v>
      </c>
      <c r="C244" s="236" t="s">
        <v>654</v>
      </c>
      <c r="D244" s="235"/>
      <c r="E244" s="229"/>
      <c r="F244" s="229"/>
      <c r="G244" s="170"/>
    </row>
    <row r="245" spans="1:7" s="360" customFormat="1" x14ac:dyDescent="0.3">
      <c r="A245" s="275" t="s">
        <v>2028</v>
      </c>
      <c r="B245" s="232" t="s">
        <v>1229</v>
      </c>
      <c r="C245" s="236" t="s">
        <v>654</v>
      </c>
      <c r="D245" s="235"/>
      <c r="E245" s="229"/>
      <c r="F245" s="229"/>
      <c r="G245" s="170"/>
    </row>
    <row r="246" spans="1:7" s="360" customFormat="1" x14ac:dyDescent="0.3">
      <c r="A246" s="275" t="s">
        <v>2029</v>
      </c>
      <c r="B246" s="232" t="s">
        <v>1229</v>
      </c>
      <c r="C246" s="236" t="s">
        <v>654</v>
      </c>
      <c r="D246" s="235"/>
      <c r="E246" s="229"/>
      <c r="F246" s="229"/>
      <c r="G246" s="170"/>
    </row>
    <row r="247" spans="1:7" s="360" customFormat="1" x14ac:dyDescent="0.3">
      <c r="A247" s="275" t="s">
        <v>2030</v>
      </c>
      <c r="B247" s="232" t="s">
        <v>1229</v>
      </c>
      <c r="C247" s="236" t="s">
        <v>654</v>
      </c>
      <c r="D247" s="235"/>
      <c r="E247" s="229"/>
      <c r="F247" s="229"/>
      <c r="G247" s="170"/>
    </row>
    <row r="248" spans="1:7" s="360" customFormat="1" x14ac:dyDescent="0.3">
      <c r="A248" s="275" t="s">
        <v>2031</v>
      </c>
      <c r="B248" s="232" t="s">
        <v>1229</v>
      </c>
      <c r="C248" s="236" t="s">
        <v>654</v>
      </c>
      <c r="D248" s="235"/>
      <c r="E248" s="229"/>
      <c r="F248" s="229"/>
      <c r="G248" s="170"/>
    </row>
    <row r="249" spans="1:7" s="360" customFormat="1" x14ac:dyDescent="0.3">
      <c r="A249" s="275" t="s">
        <v>2032</v>
      </c>
      <c r="B249" s="232" t="s">
        <v>1229</v>
      </c>
      <c r="C249" s="236" t="s">
        <v>654</v>
      </c>
      <c r="D249" s="235"/>
      <c r="E249" s="229"/>
      <c r="F249" s="229"/>
      <c r="G249" s="170"/>
    </row>
    <row r="250" spans="1:7" s="360" customFormat="1" x14ac:dyDescent="0.3">
      <c r="A250" s="275" t="s">
        <v>2033</v>
      </c>
      <c r="B250" s="232" t="s">
        <v>1229</v>
      </c>
      <c r="C250" s="236" t="s">
        <v>654</v>
      </c>
      <c r="D250" s="235"/>
      <c r="E250" s="229"/>
      <c r="F250" s="229"/>
      <c r="G250" s="170"/>
    </row>
    <row r="251" spans="1:7" s="360" customFormat="1" x14ac:dyDescent="0.3">
      <c r="A251" s="275" t="s">
        <v>2034</v>
      </c>
      <c r="B251" s="232" t="s">
        <v>1229</v>
      </c>
      <c r="C251" s="236" t="s">
        <v>654</v>
      </c>
      <c r="D251" s="235"/>
      <c r="E251" s="229"/>
      <c r="F251" s="229"/>
      <c r="G251" s="170"/>
    </row>
    <row r="252" spans="1:7" s="360" customFormat="1" x14ac:dyDescent="0.3">
      <c r="A252" s="275" t="s">
        <v>2035</v>
      </c>
      <c r="B252" s="232" t="s">
        <v>1229</v>
      </c>
      <c r="C252" s="236" t="s">
        <v>654</v>
      </c>
      <c r="D252" s="235"/>
      <c r="E252" s="229"/>
      <c r="F252" s="229"/>
      <c r="G252" s="170"/>
    </row>
    <row r="253" spans="1:7" s="360" customFormat="1" x14ac:dyDescent="0.3">
      <c r="A253" s="275" t="s">
        <v>2036</v>
      </c>
      <c r="B253" s="230"/>
      <c r="C253" s="230"/>
      <c r="D253" s="230"/>
      <c r="E253" s="229"/>
      <c r="F253" s="229"/>
      <c r="G253" s="170"/>
    </row>
    <row r="254" spans="1:7" s="360" customFormat="1" x14ac:dyDescent="0.3">
      <c r="A254" s="275" t="s">
        <v>2037</v>
      </c>
      <c r="B254" s="230"/>
      <c r="C254" s="230"/>
      <c r="D254" s="230"/>
      <c r="E254" s="229"/>
      <c r="F254" s="229"/>
      <c r="G254" s="170"/>
    </row>
    <row r="255" spans="1:7" s="360" customFormat="1" x14ac:dyDescent="0.3">
      <c r="A255" s="275" t="s">
        <v>2038</v>
      </c>
      <c r="B255" s="229"/>
      <c r="C255" s="229"/>
      <c r="D255" s="229"/>
      <c r="E255" s="229"/>
      <c r="F255" s="229"/>
      <c r="G255" s="170"/>
    </row>
    <row r="256" spans="1:7" s="360" customFormat="1" x14ac:dyDescent="0.3">
      <c r="A256" s="275" t="s">
        <v>2039</v>
      </c>
      <c r="B256" s="229"/>
      <c r="C256" s="229"/>
      <c r="D256" s="229"/>
      <c r="E256" s="229"/>
      <c r="F256" s="229"/>
      <c r="G256" s="170"/>
    </row>
    <row r="257" spans="1:7" s="360" customFormat="1" x14ac:dyDescent="0.3">
      <c r="A257" s="275" t="s">
        <v>2040</v>
      </c>
      <c r="B257" s="229"/>
      <c r="C257" s="229"/>
      <c r="D257" s="229"/>
      <c r="E257" s="229"/>
      <c r="F257" s="229"/>
      <c r="G257" s="170"/>
    </row>
  </sheetData>
  <protectedRanges>
    <protectedRange sqref="C168 C171:D178 C180:D188 B190:C211 C213:C229 C236:C252" name="Range5"/>
    <protectedRange sqref="C81:C89 C91:C99 C101:C109 C111:C115" name="Range3"/>
    <protectedRange sqref="C10:C16 C18:C24 C55:C57 C59:C79 C27:C53" name="Range2"/>
    <protectedRange sqref="C117 B120:D143 C146 C149:D156 C158:D166" name="Range4"/>
    <protectedRange sqref="C3" name="Public Sector Assets"/>
    <protectedRange sqref="B11:B16" name="Range2_1"/>
    <protectedRange sqref="B19:B24" name="Range2_1_1"/>
    <protectedRange sqref="B70:B79" name="Range2_1_2"/>
    <protectedRange sqref="B84:B89" name="Range3_1"/>
    <protectedRange sqref="B94:B99" name="Range3_1_1"/>
    <protectedRange sqref="B106:B109" name="Range3_1_2"/>
    <protectedRange sqref="B113:B115" name="Range3_1_3"/>
    <protectedRange sqref="B112" name="Mortgage Assets II_1"/>
    <protectedRange sqref="B158:B166" name="Range4_1"/>
    <protectedRange sqref="B180:B188" name="Range5_1"/>
    <protectedRange sqref="D213:D234 D236:D252" name="Range5_1_1"/>
  </protectedRanges>
  <hyperlinks>
    <hyperlink ref="B6" location="'B3. HTT Shipping Assets'!B8" display="9. Shipping Assets" xr:uid="{00000000-0004-0000-0700-000000000000}"/>
    <hyperlink ref="B80" location="'2. Harmonised Glossary'!A9" display="4. Breakdown by Interest Rate" xr:uid="{00000000-0004-0000-0700-000001000000}"/>
    <hyperlink ref="B110" location="'2. Harmonised Glossary'!A14" display="7. Non-Performing Loans (NPLs)" xr:uid="{00000000-0004-0000-0700-000002000000}"/>
    <hyperlink ref="B145" location="'2. Harmonised Glossary'!A288" display="9. Loan to Value (LTV) Information - UNINDEXED" xr:uid="{00000000-0004-0000-0700-000003000000}"/>
    <hyperlink ref="B167" location="'2. Harmonised Glossary'!A11" display="10. Loan to Value (LTV) Information - INDEXED " xr:uid="{00000000-0004-0000-0700-000004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53E36-17AD-4E3B-8244-20651C0E00AE}">
  <sheetPr codeName="Sheet7">
    <tabColor rgb="FFE36E00"/>
  </sheetPr>
  <dimension ref="A1:G403"/>
  <sheetViews>
    <sheetView topLeftCell="A13" zoomScale="70" zoomScaleNormal="70" workbookViewId="0">
      <selection activeCell="D58" sqref="D58"/>
    </sheetView>
  </sheetViews>
  <sheetFormatPr baseColWidth="10" defaultColWidth="11.44140625" defaultRowHeight="14.4" outlineLevelRow="1" x14ac:dyDescent="0.3"/>
  <cols>
    <col min="1" max="1" width="16.33203125" customWidth="1"/>
    <col min="2" max="2" width="89.6640625" style="229" bestFit="1" customWidth="1"/>
    <col min="3" max="3" width="134.6640625" customWidth="1"/>
    <col min="4" max="6" width="11.44140625" customWidth="1"/>
    <col min="7" max="7" width="96.5546875" customWidth="1"/>
    <col min="8" max="13" width="11.44140625" customWidth="1"/>
  </cols>
  <sheetData>
    <row r="1" spans="1:3" ht="31.5" customHeight="1" x14ac:dyDescent="0.3">
      <c r="A1" s="171" t="s">
        <v>2041</v>
      </c>
      <c r="B1" s="171"/>
      <c r="C1" s="172" t="str">
        <f>'A. HTT General'!F1</f>
        <v>HTT 2026</v>
      </c>
    </row>
    <row r="2" spans="1:3" x14ac:dyDescent="0.3">
      <c r="B2" s="170"/>
      <c r="C2" s="170"/>
    </row>
    <row r="3" spans="1:3" x14ac:dyDescent="0.3">
      <c r="A3" s="371" t="s">
        <v>2042</v>
      </c>
      <c r="B3" s="272"/>
      <c r="C3" s="170"/>
    </row>
    <row r="4" spans="1:3" x14ac:dyDescent="0.3">
      <c r="C4" s="170"/>
    </row>
    <row r="5" spans="1:3" ht="37.5" customHeight="1" x14ac:dyDescent="0.3">
      <c r="A5" s="273" t="s">
        <v>269</v>
      </c>
      <c r="B5" s="273" t="s">
        <v>2043</v>
      </c>
      <c r="C5" s="372" t="s">
        <v>2044</v>
      </c>
    </row>
    <row r="6" spans="1:3" ht="30" customHeight="1" x14ac:dyDescent="0.3">
      <c r="A6" s="316" t="s">
        <v>2045</v>
      </c>
      <c r="B6" s="276" t="s">
        <v>2046</v>
      </c>
      <c r="C6" s="229" t="s">
        <v>2047</v>
      </c>
    </row>
    <row r="7" spans="1:3" ht="30" customHeight="1" x14ac:dyDescent="0.3">
      <c r="A7" s="316" t="s">
        <v>2048</v>
      </c>
      <c r="B7" s="276" t="s">
        <v>2049</v>
      </c>
      <c r="C7" s="229" t="s">
        <v>2050</v>
      </c>
    </row>
    <row r="8" spans="1:3" x14ac:dyDescent="0.3">
      <c r="A8" s="316" t="s">
        <v>2051</v>
      </c>
      <c r="B8" s="276" t="s">
        <v>2052</v>
      </c>
      <c r="C8" s="229" t="s">
        <v>2053</v>
      </c>
    </row>
    <row r="9" spans="1:3" x14ac:dyDescent="0.3">
      <c r="A9" s="316" t="s">
        <v>2054</v>
      </c>
      <c r="B9" s="276" t="s">
        <v>2055</v>
      </c>
      <c r="C9" s="229" t="s">
        <v>2056</v>
      </c>
    </row>
    <row r="10" spans="1:3" ht="75" customHeight="1" x14ac:dyDescent="0.3">
      <c r="A10" s="316" t="s">
        <v>2057</v>
      </c>
      <c r="B10" s="276" t="s">
        <v>2058</v>
      </c>
      <c r="C10" s="229" t="s">
        <v>2059</v>
      </c>
    </row>
    <row r="11" spans="1:3" ht="75" customHeight="1" x14ac:dyDescent="0.3">
      <c r="A11" s="316" t="s">
        <v>2060</v>
      </c>
      <c r="B11" s="276" t="s">
        <v>2061</v>
      </c>
      <c r="C11" s="229" t="s">
        <v>2062</v>
      </c>
    </row>
    <row r="12" spans="1:3" x14ac:dyDescent="0.3">
      <c r="A12" s="316" t="s">
        <v>2063</v>
      </c>
      <c r="B12" s="276" t="s">
        <v>2064</v>
      </c>
      <c r="C12" s="230" t="s">
        <v>2065</v>
      </c>
    </row>
    <row r="13" spans="1:3" ht="60" customHeight="1" x14ac:dyDescent="0.3">
      <c r="A13" s="316" t="s">
        <v>2066</v>
      </c>
      <c r="B13" s="276" t="s">
        <v>2067</v>
      </c>
      <c r="C13" s="229" t="s">
        <v>2068</v>
      </c>
    </row>
    <row r="14" spans="1:3" ht="30" customHeight="1" x14ac:dyDescent="0.3">
      <c r="A14" s="316" t="s">
        <v>2069</v>
      </c>
      <c r="B14" s="276" t="s">
        <v>2070</v>
      </c>
      <c r="C14" s="229" t="s">
        <v>2071</v>
      </c>
    </row>
    <row r="15" spans="1:3" ht="30" customHeight="1" x14ac:dyDescent="0.3">
      <c r="A15" s="316" t="s">
        <v>2072</v>
      </c>
      <c r="B15" s="276" t="s">
        <v>2073</v>
      </c>
      <c r="C15" s="229" t="s">
        <v>2074</v>
      </c>
    </row>
    <row r="16" spans="1:3" ht="45" customHeight="1" x14ac:dyDescent="0.3">
      <c r="A16" s="316" t="s">
        <v>2075</v>
      </c>
      <c r="B16" s="276" t="s">
        <v>2076</v>
      </c>
      <c r="C16" s="229" t="s">
        <v>2077</v>
      </c>
    </row>
    <row r="17" spans="1:7" ht="120" customHeight="1" x14ac:dyDescent="0.3">
      <c r="A17" s="316" t="s">
        <v>2078</v>
      </c>
      <c r="B17" s="373" t="s">
        <v>2079</v>
      </c>
      <c r="C17" s="229" t="s">
        <v>2080</v>
      </c>
      <c r="G17" s="374"/>
    </row>
    <row r="18" spans="1:7" ht="285" customHeight="1" x14ac:dyDescent="0.3">
      <c r="A18" s="316" t="s">
        <v>2081</v>
      </c>
      <c r="B18" s="373" t="s">
        <v>2082</v>
      </c>
      <c r="C18" s="229" t="s">
        <v>2083</v>
      </c>
    </row>
    <row r="19" spans="1:7" x14ac:dyDescent="0.3">
      <c r="A19" s="316" t="s">
        <v>2084</v>
      </c>
      <c r="B19" s="373" t="s">
        <v>2085</v>
      </c>
      <c r="C19" s="229" t="s">
        <v>2086</v>
      </c>
    </row>
    <row r="20" spans="1:7" x14ac:dyDescent="0.3">
      <c r="A20" s="316" t="s">
        <v>2087</v>
      </c>
      <c r="B20" s="276" t="s">
        <v>2088</v>
      </c>
      <c r="C20" s="230"/>
    </row>
    <row r="21" spans="1:7" x14ac:dyDescent="0.3">
      <c r="A21" s="316" t="s">
        <v>2089</v>
      </c>
      <c r="B21" s="293" t="s">
        <v>2090</v>
      </c>
      <c r="C21" s="229"/>
    </row>
    <row r="22" spans="1:7" x14ac:dyDescent="0.3">
      <c r="A22" s="316" t="s">
        <v>2091</v>
      </c>
      <c r="B22" s="375"/>
      <c r="C22" s="229"/>
    </row>
    <row r="23" spans="1:7" outlineLevel="1" x14ac:dyDescent="0.3">
      <c r="A23" s="316" t="s">
        <v>2092</v>
      </c>
      <c r="B23" s="230"/>
      <c r="C23" s="229"/>
    </row>
    <row r="24" spans="1:7" outlineLevel="1" x14ac:dyDescent="0.3">
      <c r="A24" s="316" t="s">
        <v>2093</v>
      </c>
      <c r="B24" s="335"/>
      <c r="C24" s="229"/>
    </row>
    <row r="25" spans="1:7" outlineLevel="1" x14ac:dyDescent="0.3">
      <c r="A25" s="316" t="s">
        <v>2094</v>
      </c>
      <c r="B25" s="335"/>
      <c r="C25" s="229"/>
    </row>
    <row r="26" spans="1:7" outlineLevel="1" x14ac:dyDescent="0.3">
      <c r="A26" s="316" t="s">
        <v>2095</v>
      </c>
      <c r="B26" s="335"/>
      <c r="C26" s="229"/>
    </row>
    <row r="27" spans="1:7" outlineLevel="1" x14ac:dyDescent="0.3">
      <c r="A27" s="316" t="s">
        <v>2096</v>
      </c>
      <c r="B27" s="335"/>
      <c r="C27" s="229"/>
    </row>
    <row r="28" spans="1:7" ht="18.75" customHeight="1" outlineLevel="1" x14ac:dyDescent="0.3">
      <c r="A28" s="273"/>
      <c r="B28" s="273" t="s">
        <v>2097</v>
      </c>
      <c r="C28" s="372" t="s">
        <v>2098</v>
      </c>
    </row>
    <row r="29" spans="1:7" outlineLevel="1" x14ac:dyDescent="0.3">
      <c r="A29" s="316" t="s">
        <v>2099</v>
      </c>
      <c r="B29" s="276" t="s">
        <v>2100</v>
      </c>
      <c r="C29" s="229"/>
    </row>
    <row r="30" spans="1:7" outlineLevel="1" x14ac:dyDescent="0.3">
      <c r="A30" s="316" t="s">
        <v>2101</v>
      </c>
      <c r="B30" s="276" t="s">
        <v>2102</v>
      </c>
      <c r="C30" s="229"/>
    </row>
    <row r="31" spans="1:7" outlineLevel="1" x14ac:dyDescent="0.3">
      <c r="A31" s="316" t="s">
        <v>2103</v>
      </c>
      <c r="B31" s="276" t="s">
        <v>2104</v>
      </c>
      <c r="C31" s="229"/>
    </row>
    <row r="32" spans="1:7" ht="30" customHeight="1" outlineLevel="1" x14ac:dyDescent="0.3">
      <c r="A32" s="316" t="s">
        <v>2105</v>
      </c>
      <c r="B32" s="376" t="s">
        <v>2106</v>
      </c>
      <c r="C32" s="229"/>
    </row>
    <row r="33" spans="1:3" outlineLevel="1" x14ac:dyDescent="0.3">
      <c r="A33" s="316" t="s">
        <v>2107</v>
      </c>
      <c r="B33" s="377"/>
      <c r="C33" s="229"/>
    </row>
    <row r="34" spans="1:3" outlineLevel="1" x14ac:dyDescent="0.3">
      <c r="A34" s="316" t="s">
        <v>2108</v>
      </c>
      <c r="B34" s="377"/>
      <c r="C34" s="229"/>
    </row>
    <row r="35" spans="1:3" outlineLevel="1" x14ac:dyDescent="0.3">
      <c r="A35" s="316" t="s">
        <v>2109</v>
      </c>
      <c r="B35" s="377"/>
      <c r="C35" s="229"/>
    </row>
    <row r="36" spans="1:3" outlineLevel="1" x14ac:dyDescent="0.3">
      <c r="A36" s="316" t="s">
        <v>2110</v>
      </c>
      <c r="B36" s="377"/>
      <c r="C36" s="229"/>
    </row>
    <row r="37" spans="1:3" outlineLevel="1" x14ac:dyDescent="0.3">
      <c r="A37" s="316" t="s">
        <v>2111</v>
      </c>
      <c r="B37" s="377"/>
      <c r="C37" s="229"/>
    </row>
    <row r="38" spans="1:3" outlineLevel="1" x14ac:dyDescent="0.3">
      <c r="A38" s="316" t="s">
        <v>2112</v>
      </c>
      <c r="B38" s="377"/>
      <c r="C38" s="229"/>
    </row>
    <row r="39" spans="1:3" outlineLevel="1" x14ac:dyDescent="0.3">
      <c r="A39" s="316" t="s">
        <v>2113</v>
      </c>
      <c r="B39" s="377"/>
      <c r="C39" s="229"/>
    </row>
    <row r="40" spans="1:3" outlineLevel="1" x14ac:dyDescent="0.3">
      <c r="A40" s="316" t="s">
        <v>2114</v>
      </c>
      <c r="C40" s="229"/>
    </row>
    <row r="41" spans="1:3" outlineLevel="1" x14ac:dyDescent="0.3">
      <c r="A41" s="316" t="s">
        <v>2115</v>
      </c>
      <c r="B41" s="377"/>
      <c r="C41" s="229"/>
    </row>
    <row r="42" spans="1:3" outlineLevel="1" x14ac:dyDescent="0.3">
      <c r="A42" s="316" t="s">
        <v>2116</v>
      </c>
      <c r="B42" s="377"/>
      <c r="C42" s="229"/>
    </row>
    <row r="43" spans="1:3" x14ac:dyDescent="0.3">
      <c r="A43" s="316" t="s">
        <v>2117</v>
      </c>
      <c r="B43" s="377"/>
      <c r="C43" s="229"/>
    </row>
    <row r="44" spans="1:3" ht="18.75" customHeight="1" x14ac:dyDescent="0.3">
      <c r="A44" s="273"/>
      <c r="B44" s="273" t="s">
        <v>2118</v>
      </c>
      <c r="C44" s="372" t="s">
        <v>2119</v>
      </c>
    </row>
    <row r="45" spans="1:3" x14ac:dyDescent="0.3">
      <c r="A45" s="316" t="s">
        <v>2120</v>
      </c>
      <c r="B45" s="373" t="s">
        <v>2121</v>
      </c>
      <c r="C45" s="230" t="s">
        <v>317</v>
      </c>
    </row>
    <row r="46" spans="1:3" outlineLevel="1" x14ac:dyDescent="0.3">
      <c r="A46" s="316" t="s">
        <v>2122</v>
      </c>
      <c r="B46" s="373" t="s">
        <v>2123</v>
      </c>
      <c r="C46" s="230" t="s">
        <v>654</v>
      </c>
    </row>
    <row r="47" spans="1:3" outlineLevel="1" x14ac:dyDescent="0.3">
      <c r="A47" s="316" t="s">
        <v>2124</v>
      </c>
      <c r="B47" s="373" t="s">
        <v>2125</v>
      </c>
      <c r="C47" s="230" t="s">
        <v>1344</v>
      </c>
    </row>
    <row r="48" spans="1:3" outlineLevel="1" x14ac:dyDescent="0.3">
      <c r="A48" s="316" t="s">
        <v>2126</v>
      </c>
      <c r="B48" s="376" t="s">
        <v>2127</v>
      </c>
      <c r="C48" s="230" t="s">
        <v>2128</v>
      </c>
    </row>
    <row r="49" spans="1:3" x14ac:dyDescent="0.3">
      <c r="A49" s="316" t="s">
        <v>2129</v>
      </c>
      <c r="B49" s="232"/>
      <c r="C49" s="229"/>
    </row>
    <row r="50" spans="1:3" x14ac:dyDescent="0.3">
      <c r="A50" s="316" t="s">
        <v>2130</v>
      </c>
      <c r="B50" s="378"/>
      <c r="C50" s="229"/>
    </row>
    <row r="51" spans="1:3" ht="18.75" customHeight="1" x14ac:dyDescent="0.3">
      <c r="A51" s="273"/>
      <c r="B51" s="273" t="s">
        <v>2131</v>
      </c>
      <c r="C51" s="372" t="s">
        <v>2044</v>
      </c>
    </row>
    <row r="52" spans="1:3" x14ac:dyDescent="0.3">
      <c r="A52" s="316" t="s">
        <v>2132</v>
      </c>
      <c r="B52" s="276" t="s">
        <v>2133</v>
      </c>
      <c r="C52" s="229"/>
    </row>
    <row r="53" spans="1:3" x14ac:dyDescent="0.3">
      <c r="A53" s="316" t="s">
        <v>2134</v>
      </c>
      <c r="B53" s="232"/>
    </row>
    <row r="54" spans="1:3" x14ac:dyDescent="0.3">
      <c r="A54" s="316" t="s">
        <v>2135</v>
      </c>
      <c r="B54" s="232"/>
    </row>
    <row r="55" spans="1:3" x14ac:dyDescent="0.3">
      <c r="A55" s="316" t="s">
        <v>2136</v>
      </c>
      <c r="B55" s="232"/>
    </row>
    <row r="56" spans="1:3" x14ac:dyDescent="0.3">
      <c r="A56" s="316" t="s">
        <v>2137</v>
      </c>
      <c r="B56" s="232"/>
    </row>
    <row r="57" spans="1:3" x14ac:dyDescent="0.3">
      <c r="A57" s="316" t="s">
        <v>2138</v>
      </c>
      <c r="B57" s="232"/>
    </row>
    <row r="58" spans="1:3" x14ac:dyDescent="0.3">
      <c r="B58" s="234"/>
    </row>
    <row r="59" spans="1:3" x14ac:dyDescent="0.3">
      <c r="B59" s="234"/>
    </row>
    <row r="60" spans="1:3" x14ac:dyDescent="0.3">
      <c r="B60" s="234"/>
    </row>
    <row r="61" spans="1:3" x14ac:dyDescent="0.3">
      <c r="B61" s="234"/>
    </row>
    <row r="62" spans="1:3" x14ac:dyDescent="0.3">
      <c r="B62" s="234"/>
    </row>
    <row r="63" spans="1:3" x14ac:dyDescent="0.3">
      <c r="B63" s="234"/>
    </row>
    <row r="64" spans="1:3" x14ac:dyDescent="0.3">
      <c r="B64" s="234"/>
    </row>
    <row r="65" spans="2:2" x14ac:dyDescent="0.3">
      <c r="B65" s="234"/>
    </row>
    <row r="66" spans="2:2" x14ac:dyDescent="0.3">
      <c r="B66" s="234"/>
    </row>
    <row r="67" spans="2:2" x14ac:dyDescent="0.3">
      <c r="B67" s="234"/>
    </row>
    <row r="68" spans="2:2" x14ac:dyDescent="0.3">
      <c r="B68" s="234"/>
    </row>
    <row r="69" spans="2:2" x14ac:dyDescent="0.3">
      <c r="B69" s="234"/>
    </row>
    <row r="70" spans="2:2" x14ac:dyDescent="0.3">
      <c r="B70" s="234"/>
    </row>
    <row r="71" spans="2:2" x14ac:dyDescent="0.3">
      <c r="B71" s="234"/>
    </row>
    <row r="72" spans="2:2" x14ac:dyDescent="0.3">
      <c r="B72" s="234"/>
    </row>
    <row r="73" spans="2:2" x14ac:dyDescent="0.3">
      <c r="B73" s="234"/>
    </row>
    <row r="74" spans="2:2" x14ac:dyDescent="0.3">
      <c r="B74" s="234"/>
    </row>
    <row r="75" spans="2:2" x14ac:dyDescent="0.3">
      <c r="B75" s="234"/>
    </row>
    <row r="76" spans="2:2" x14ac:dyDescent="0.3">
      <c r="B76" s="234"/>
    </row>
    <row r="77" spans="2:2" x14ac:dyDescent="0.3">
      <c r="B77" s="234"/>
    </row>
    <row r="78" spans="2:2" x14ac:dyDescent="0.3">
      <c r="B78" s="234"/>
    </row>
    <row r="79" spans="2:2" x14ac:dyDescent="0.3">
      <c r="B79" s="234"/>
    </row>
    <row r="80" spans="2:2" x14ac:dyDescent="0.3">
      <c r="B80" s="234"/>
    </row>
    <row r="81" spans="2:2" x14ac:dyDescent="0.3">
      <c r="B81" s="234"/>
    </row>
    <row r="82" spans="2:2" x14ac:dyDescent="0.3">
      <c r="B82" s="234"/>
    </row>
    <row r="83" spans="2:2" x14ac:dyDescent="0.3">
      <c r="B83" s="234"/>
    </row>
    <row r="84" spans="2:2" x14ac:dyDescent="0.3">
      <c r="B84" s="234"/>
    </row>
    <row r="85" spans="2:2" x14ac:dyDescent="0.3">
      <c r="B85" s="234"/>
    </row>
    <row r="86" spans="2:2" x14ac:dyDescent="0.3">
      <c r="B86" s="234"/>
    </row>
    <row r="87" spans="2:2" x14ac:dyDescent="0.3">
      <c r="B87" s="234"/>
    </row>
    <row r="88" spans="2:2" x14ac:dyDescent="0.3">
      <c r="B88" s="234"/>
    </row>
    <row r="89" spans="2:2" x14ac:dyDescent="0.3">
      <c r="B89" s="234"/>
    </row>
    <row r="90" spans="2:2" x14ac:dyDescent="0.3">
      <c r="B90" s="234"/>
    </row>
    <row r="91" spans="2:2" x14ac:dyDescent="0.3">
      <c r="B91" s="234"/>
    </row>
    <row r="92" spans="2:2" x14ac:dyDescent="0.3">
      <c r="B92" s="234"/>
    </row>
    <row r="93" spans="2:2" x14ac:dyDescent="0.3">
      <c r="B93" s="234"/>
    </row>
    <row r="94" spans="2:2" x14ac:dyDescent="0.3">
      <c r="B94" s="234"/>
    </row>
    <row r="95" spans="2:2" x14ac:dyDescent="0.3">
      <c r="B95" s="234"/>
    </row>
    <row r="96" spans="2:2" x14ac:dyDescent="0.3">
      <c r="B96" s="234"/>
    </row>
    <row r="97" spans="2:2" x14ac:dyDescent="0.3">
      <c r="B97" s="234"/>
    </row>
    <row r="98" spans="2:2" x14ac:dyDescent="0.3">
      <c r="B98" s="234"/>
    </row>
    <row r="99" spans="2:2" x14ac:dyDescent="0.3">
      <c r="B99" s="234"/>
    </row>
    <row r="100" spans="2:2" x14ac:dyDescent="0.3">
      <c r="B100" s="234"/>
    </row>
    <row r="101" spans="2:2" x14ac:dyDescent="0.3">
      <c r="B101" s="234"/>
    </row>
    <row r="102" spans="2:2" x14ac:dyDescent="0.3">
      <c r="B102" s="234"/>
    </row>
    <row r="103" spans="2:2" x14ac:dyDescent="0.3">
      <c r="B103" s="170"/>
    </row>
    <row r="104" spans="2:2" x14ac:dyDescent="0.3">
      <c r="B104" s="170"/>
    </row>
    <row r="105" spans="2:2" x14ac:dyDescent="0.3">
      <c r="B105" s="170"/>
    </row>
    <row r="106" spans="2:2" x14ac:dyDescent="0.3">
      <c r="B106" s="170"/>
    </row>
    <row r="107" spans="2:2" x14ac:dyDescent="0.3">
      <c r="B107" s="170"/>
    </row>
    <row r="108" spans="2:2" x14ac:dyDescent="0.3">
      <c r="B108" s="170"/>
    </row>
    <row r="109" spans="2:2" x14ac:dyDescent="0.3">
      <c r="B109" s="170"/>
    </row>
    <row r="110" spans="2:2" x14ac:dyDescent="0.3">
      <c r="B110" s="170"/>
    </row>
    <row r="111" spans="2:2" x14ac:dyDescent="0.3">
      <c r="B111" s="170"/>
    </row>
    <row r="112" spans="2:2" x14ac:dyDescent="0.3">
      <c r="B112" s="170"/>
    </row>
    <row r="113" spans="2:2" x14ac:dyDescent="0.3">
      <c r="B113" s="234"/>
    </row>
    <row r="114" spans="2:2" x14ac:dyDescent="0.3">
      <c r="B114" s="234"/>
    </row>
    <row r="115" spans="2:2" x14ac:dyDescent="0.3">
      <c r="B115" s="234"/>
    </row>
    <row r="116" spans="2:2" x14ac:dyDescent="0.3">
      <c r="B116" s="234"/>
    </row>
    <row r="117" spans="2:2" x14ac:dyDescent="0.3">
      <c r="B117" s="234"/>
    </row>
    <row r="118" spans="2:2" x14ac:dyDescent="0.3">
      <c r="B118" s="234"/>
    </row>
    <row r="119" spans="2:2" x14ac:dyDescent="0.3">
      <c r="B119" s="234"/>
    </row>
    <row r="120" spans="2:2" x14ac:dyDescent="0.3">
      <c r="B120" s="234"/>
    </row>
    <row r="121" spans="2:2" x14ac:dyDescent="0.3">
      <c r="B121" s="329"/>
    </row>
    <row r="122" spans="2:2" x14ac:dyDescent="0.3">
      <c r="B122" s="234"/>
    </row>
    <row r="123" spans="2:2" x14ac:dyDescent="0.3">
      <c r="B123" s="234"/>
    </row>
    <row r="124" spans="2:2" x14ac:dyDescent="0.3">
      <c r="B124" s="234"/>
    </row>
    <row r="125" spans="2:2" x14ac:dyDescent="0.3">
      <c r="B125" s="234"/>
    </row>
    <row r="126" spans="2:2" x14ac:dyDescent="0.3">
      <c r="B126" s="234"/>
    </row>
    <row r="127" spans="2:2" x14ac:dyDescent="0.3">
      <c r="B127" s="234"/>
    </row>
    <row r="128" spans="2:2" x14ac:dyDescent="0.3">
      <c r="B128" s="234"/>
    </row>
    <row r="129" spans="2:2" x14ac:dyDescent="0.3">
      <c r="B129" s="234"/>
    </row>
    <row r="130" spans="2:2" x14ac:dyDescent="0.3">
      <c r="B130" s="234"/>
    </row>
    <row r="131" spans="2:2" x14ac:dyDescent="0.3">
      <c r="B131" s="234"/>
    </row>
    <row r="132" spans="2:2" x14ac:dyDescent="0.3">
      <c r="B132" s="234"/>
    </row>
    <row r="133" spans="2:2" x14ac:dyDescent="0.3">
      <c r="B133" s="234"/>
    </row>
    <row r="134" spans="2:2" x14ac:dyDescent="0.3">
      <c r="B134" s="234"/>
    </row>
    <row r="135" spans="2:2" x14ac:dyDescent="0.3">
      <c r="B135" s="234"/>
    </row>
    <row r="136" spans="2:2" x14ac:dyDescent="0.3">
      <c r="B136" s="234"/>
    </row>
    <row r="137" spans="2:2" x14ac:dyDescent="0.3">
      <c r="B137" s="234"/>
    </row>
    <row r="138" spans="2:2" x14ac:dyDescent="0.3">
      <c r="B138" s="234"/>
    </row>
    <row r="140" spans="2:2" x14ac:dyDescent="0.3">
      <c r="B140" s="234"/>
    </row>
    <row r="141" spans="2:2" x14ac:dyDescent="0.3">
      <c r="B141" s="234"/>
    </row>
    <row r="142" spans="2:2" x14ac:dyDescent="0.3">
      <c r="B142" s="234"/>
    </row>
    <row r="147" spans="2:2" x14ac:dyDescent="0.3">
      <c r="B147" s="343"/>
    </row>
    <row r="148" spans="2:2" x14ac:dyDescent="0.3">
      <c r="B148" s="379"/>
    </row>
    <row r="154" spans="2:2" x14ac:dyDescent="0.3">
      <c r="B154" s="287"/>
    </row>
    <row r="155" spans="2:2" x14ac:dyDescent="0.3">
      <c r="B155" s="234"/>
    </row>
    <row r="157" spans="2:2" x14ac:dyDescent="0.3">
      <c r="B157" s="234"/>
    </row>
    <row r="158" spans="2:2" x14ac:dyDescent="0.3">
      <c r="B158" s="234"/>
    </row>
    <row r="159" spans="2:2" x14ac:dyDescent="0.3">
      <c r="B159" s="234"/>
    </row>
    <row r="160" spans="2:2" x14ac:dyDescent="0.3">
      <c r="B160" s="234"/>
    </row>
    <row r="161" spans="2:2" x14ac:dyDescent="0.3">
      <c r="B161" s="234"/>
    </row>
    <row r="162" spans="2:2" x14ac:dyDescent="0.3">
      <c r="B162" s="234"/>
    </row>
    <row r="163" spans="2:2" x14ac:dyDescent="0.3">
      <c r="B163" s="234"/>
    </row>
    <row r="164" spans="2:2" x14ac:dyDescent="0.3">
      <c r="B164" s="234"/>
    </row>
    <row r="165" spans="2:2" x14ac:dyDescent="0.3">
      <c r="B165" s="234"/>
    </row>
    <row r="166" spans="2:2" x14ac:dyDescent="0.3">
      <c r="B166" s="234"/>
    </row>
    <row r="167" spans="2:2" x14ac:dyDescent="0.3">
      <c r="B167" s="234"/>
    </row>
    <row r="168" spans="2:2" x14ac:dyDescent="0.3">
      <c r="B168" s="234"/>
    </row>
    <row r="265" spans="2:2" x14ac:dyDescent="0.3">
      <c r="B265" s="334"/>
    </row>
    <row r="266" spans="2:2" x14ac:dyDescent="0.3">
      <c r="B266" s="234"/>
    </row>
    <row r="267" spans="2:2" x14ac:dyDescent="0.3">
      <c r="B267" s="234"/>
    </row>
    <row r="270" spans="2:2" x14ac:dyDescent="0.3">
      <c r="B270" s="234"/>
    </row>
    <row r="286" spans="2:2" x14ac:dyDescent="0.3">
      <c r="B286" s="334"/>
    </row>
    <row r="316" spans="2:2" x14ac:dyDescent="0.3">
      <c r="B316" s="343"/>
    </row>
    <row r="317" spans="2:2" x14ac:dyDescent="0.3">
      <c r="B317" s="234"/>
    </row>
    <row r="319" spans="2:2" x14ac:dyDescent="0.3">
      <c r="B319" s="234"/>
    </row>
    <row r="320" spans="2:2" x14ac:dyDescent="0.3">
      <c r="B320" s="234"/>
    </row>
    <row r="321" spans="2:2" x14ac:dyDescent="0.3">
      <c r="B321" s="234"/>
    </row>
    <row r="322" spans="2:2" x14ac:dyDescent="0.3">
      <c r="B322" s="234"/>
    </row>
    <row r="323" spans="2:2" x14ac:dyDescent="0.3">
      <c r="B323" s="234"/>
    </row>
    <row r="324" spans="2:2" x14ac:dyDescent="0.3">
      <c r="B324" s="234"/>
    </row>
    <row r="325" spans="2:2" x14ac:dyDescent="0.3">
      <c r="B325" s="234"/>
    </row>
    <row r="326" spans="2:2" x14ac:dyDescent="0.3">
      <c r="B326" s="234"/>
    </row>
    <row r="327" spans="2:2" x14ac:dyDescent="0.3">
      <c r="B327" s="234"/>
    </row>
    <row r="328" spans="2:2" x14ac:dyDescent="0.3">
      <c r="B328" s="234"/>
    </row>
    <row r="329" spans="2:2" x14ac:dyDescent="0.3">
      <c r="B329" s="234"/>
    </row>
    <row r="330" spans="2:2" x14ac:dyDescent="0.3">
      <c r="B330" s="234"/>
    </row>
    <row r="342" spans="2:2" x14ac:dyDescent="0.3">
      <c r="B342" s="234"/>
    </row>
    <row r="343" spans="2:2" x14ac:dyDescent="0.3">
      <c r="B343" s="234"/>
    </row>
    <row r="344" spans="2:2" x14ac:dyDescent="0.3">
      <c r="B344" s="234"/>
    </row>
    <row r="345" spans="2:2" x14ac:dyDescent="0.3">
      <c r="B345" s="234"/>
    </row>
    <row r="346" spans="2:2" x14ac:dyDescent="0.3">
      <c r="B346" s="234"/>
    </row>
    <row r="347" spans="2:2" x14ac:dyDescent="0.3">
      <c r="B347" s="234"/>
    </row>
    <row r="348" spans="2:2" x14ac:dyDescent="0.3">
      <c r="B348" s="234"/>
    </row>
    <row r="349" spans="2:2" x14ac:dyDescent="0.3">
      <c r="B349" s="234"/>
    </row>
    <row r="350" spans="2:2" x14ac:dyDescent="0.3">
      <c r="B350" s="234"/>
    </row>
    <row r="352" spans="2:2" x14ac:dyDescent="0.3">
      <c r="B352" s="234"/>
    </row>
    <row r="353" spans="2:2" x14ac:dyDescent="0.3">
      <c r="B353" s="234"/>
    </row>
    <row r="354" spans="2:2" x14ac:dyDescent="0.3">
      <c r="B354" s="234"/>
    </row>
    <row r="355" spans="2:2" x14ac:dyDescent="0.3">
      <c r="B355" s="234"/>
    </row>
    <row r="356" spans="2:2" x14ac:dyDescent="0.3">
      <c r="B356" s="234"/>
    </row>
    <row r="358" spans="2:2" x14ac:dyDescent="0.3">
      <c r="B358" s="234"/>
    </row>
    <row r="361" spans="2:2" x14ac:dyDescent="0.3">
      <c r="B361" s="234"/>
    </row>
    <row r="364" spans="2:2" x14ac:dyDescent="0.3">
      <c r="B364" s="234"/>
    </row>
    <row r="365" spans="2:2" x14ac:dyDescent="0.3">
      <c r="B365" s="234"/>
    </row>
    <row r="366" spans="2:2" x14ac:dyDescent="0.3">
      <c r="B366" s="234"/>
    </row>
    <row r="367" spans="2:2" x14ac:dyDescent="0.3">
      <c r="B367" s="234"/>
    </row>
    <row r="368" spans="2:2" x14ac:dyDescent="0.3">
      <c r="B368" s="234"/>
    </row>
    <row r="369" spans="2:2" x14ac:dyDescent="0.3">
      <c r="B369" s="234"/>
    </row>
    <row r="370" spans="2:2" x14ac:dyDescent="0.3">
      <c r="B370" s="234"/>
    </row>
    <row r="371" spans="2:2" x14ac:dyDescent="0.3">
      <c r="B371" s="234"/>
    </row>
    <row r="372" spans="2:2" x14ac:dyDescent="0.3">
      <c r="B372" s="234"/>
    </row>
    <row r="373" spans="2:2" x14ac:dyDescent="0.3">
      <c r="B373" s="234"/>
    </row>
    <row r="374" spans="2:2" x14ac:dyDescent="0.3">
      <c r="B374" s="234"/>
    </row>
    <row r="375" spans="2:2" x14ac:dyDescent="0.3">
      <c r="B375" s="234"/>
    </row>
    <row r="376" spans="2:2" x14ac:dyDescent="0.3">
      <c r="B376" s="234"/>
    </row>
    <row r="377" spans="2:2" x14ac:dyDescent="0.3">
      <c r="B377" s="234"/>
    </row>
    <row r="378" spans="2:2" x14ac:dyDescent="0.3">
      <c r="B378" s="234"/>
    </row>
    <row r="379" spans="2:2" x14ac:dyDescent="0.3">
      <c r="B379" s="234"/>
    </row>
    <row r="380" spans="2:2" x14ac:dyDescent="0.3">
      <c r="B380" s="234"/>
    </row>
    <row r="381" spans="2:2" x14ac:dyDescent="0.3">
      <c r="B381" s="234"/>
    </row>
    <row r="382" spans="2:2" x14ac:dyDescent="0.3">
      <c r="B382" s="234"/>
    </row>
    <row r="386" spans="2:2" x14ac:dyDescent="0.3">
      <c r="B386" s="343"/>
    </row>
    <row r="403" spans="2:2" x14ac:dyDescent="0.3">
      <c r="B403" s="380"/>
    </row>
  </sheetData>
  <protectedRanges>
    <protectedRange sqref="C32:C43 C29:C31" name="Glossary_1"/>
    <protectedRange sqref="A58:A88" name="Glossary_2"/>
    <protectedRange sqref="C20" name="Glossary"/>
    <protectedRange sqref="B21 B24:B27" name="Glossary_1_1"/>
    <protectedRange sqref="B32:B43" name="Glossary_1_2"/>
    <protectedRange sqref="B52 A53:B57" name="Glossary_1_3"/>
  </protectedRanges>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6821FD91A3154B97F79302748EAE1F" ma:contentTypeVersion="8" ma:contentTypeDescription="Crée un document." ma:contentTypeScope="" ma:versionID="5256c2693bc1d72c7c8f2ba49d87e705">
  <xsd:schema xmlns:xsd="http://www.w3.org/2001/XMLSchema" xmlns:xs="http://www.w3.org/2001/XMLSchema" xmlns:p="http://schemas.microsoft.com/office/2006/metadata/properties" xmlns:ns2="125f27c5-9a6a-4816-b148-edc1d36faeb0" xmlns:ns3="e7a2abaa-5599-4de5-8975-9a880a767feb" targetNamespace="http://schemas.microsoft.com/office/2006/metadata/properties" ma:root="true" ma:fieldsID="d530f485c6b35897ba21148d1389884a" ns2:_="" ns3:_="">
    <xsd:import namespace="125f27c5-9a6a-4816-b148-edc1d36faeb0"/>
    <xsd:import namespace="e7a2abaa-5599-4de5-8975-9a880a767f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f27c5-9a6a-4816-b148-edc1d36fae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a2abaa-5599-4de5-8975-9a880a767fe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haredContentType xmlns="Microsoft.SharePoint.Taxonomy.ContentTypeSync" SourceId="c52eb4dc-0ef3-4aa8-8e03-025dbf6c8637"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CBB4A6-D52C-4B86-BC92-0D9E361D0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f27c5-9a6a-4816-b148-edc1d36faeb0"/>
    <ds:schemaRef ds:uri="e7a2abaa-5599-4de5-8975-9a880a767f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6355B-CA4D-4511-AA48-B5DF0BA8AE15}">
  <ds:schemaRefs>
    <ds:schemaRef ds:uri="http://schemas.microsoft.com/office/2006/documentManagement/types"/>
    <ds:schemaRef ds:uri="20232f5b-617c-4a06-b934-49f5c58e80a3"/>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1a25a4d3-9c96-44e0-9764-528e33be97a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C830DFD-7978-4A26-AC86-A8305A2823BB}">
  <ds:schemaRefs>
    <ds:schemaRef ds:uri="Microsoft.SharePoint.Taxonomy.ContentTypeSync"/>
  </ds:schemaRefs>
</ds:datastoreItem>
</file>

<file path=customXml/itemProps4.xml><?xml version="1.0" encoding="utf-8"?>
<ds:datastoreItem xmlns:ds="http://schemas.openxmlformats.org/officeDocument/2006/customXml" ds:itemID="{DB5D7E03-1D0C-41BB-A547-2C99573647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22</vt:i4>
      </vt:variant>
      <vt:variant>
        <vt:lpstr>Plages nommées</vt:lpstr>
      </vt:variant>
      <vt:variant>
        <vt:i4>11</vt:i4>
      </vt:variant>
    </vt:vector>
  </HeadingPairs>
  <TitlesOfParts>
    <vt:vector size="33"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UF1S</vt:lpstr>
      <vt:lpstr>Cube</vt:lpstr>
      <vt:lpstr>D1.Overview</vt:lpstr>
      <vt:lpstr>D2.Residential</vt:lpstr>
      <vt:lpstr>D3.Public sector</vt:lpstr>
      <vt:lpstr>D4.Covered bonds</vt:lpstr>
      <vt:lpstr>D5.Explanations</vt:lpstr>
      <vt:lpstr>E. Optional ECB-ECAIs data</vt:lpstr>
      <vt:lpstr>F1. Sustainable M data</vt:lpstr>
      <vt:lpstr>E.g. General</vt:lpstr>
      <vt:lpstr>E.g. Other</vt:lpstr>
      <vt:lpstr>Passif_Global</vt:lpstr>
      <vt:lpstr>Report externe Asset Cover Test</vt:lpstr>
      <vt:lpstr>Disclaimer!general_tc</vt:lpstr>
      <vt:lpstr>Disclaimer!Impression_des_titres</vt:lpstr>
      <vt:lpstr>Disclaimer!privacy_policy</vt:lpstr>
      <vt:lpstr>'C. HTT Harmonised Glossary'!Zone_d_impression</vt:lpstr>
      <vt:lpstr>D1.Overview!Zone_d_impression</vt:lpstr>
      <vt:lpstr>D2.Residential!Zone_d_impression</vt:lpstr>
      <vt:lpstr>'D3.Public sector'!Zone_d_impression</vt:lpstr>
      <vt:lpstr>'D4.Covered bonds'!Zone_d_impression</vt:lpstr>
      <vt:lpstr>D5.Explanations!Zone_d_impression</vt:lpstr>
      <vt:lpstr>Disclaimer!Zone_d_impression</vt:lpstr>
      <vt:lpstr>Introduction!Zone_d_impression</vt:lpstr>
    </vt:vector>
  </TitlesOfParts>
  <Company>CREDIT FONCIER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BLASCO NATHALIE</cp:lastModifiedBy>
  <cp:lastPrinted>2016-01-21T07:13:39Z</cp:lastPrinted>
  <dcterms:created xsi:type="dcterms:W3CDTF">2015-01-27T16:00:44Z</dcterms:created>
  <dcterms:modified xsi:type="dcterms:W3CDTF">2026-07-23T12:23:28Z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a19f0c-bea1-442e-a475-ed109d9ec508_Enabled">
    <vt:lpwstr>true</vt:lpwstr>
  </property>
  <property fmtid="{D5CDD505-2E9C-101B-9397-08002B2CF9AE}" pid="3" name="MSIP_Label_48a19f0c-bea1-442e-a475-ed109d9ec508_SetDate">
    <vt:lpwstr>2022-12-06T13:24:25Z</vt:lpwstr>
  </property>
  <property fmtid="{D5CDD505-2E9C-101B-9397-08002B2CF9AE}" pid="4" name="MSIP_Label_48a19f0c-bea1-442e-a475-ed109d9ec508_Method">
    <vt:lpwstr>Standard</vt:lpwstr>
  </property>
  <property fmtid="{D5CDD505-2E9C-101B-9397-08002B2CF9AE}" pid="5" name="MSIP_Label_48a19f0c-bea1-442e-a475-ed109d9ec508_Name">
    <vt:lpwstr>48a19f0c-bea1-442e-a475-ed109d9ec508</vt:lpwstr>
  </property>
  <property fmtid="{D5CDD505-2E9C-101B-9397-08002B2CF9AE}" pid="6" name="MSIP_Label_48a19f0c-bea1-442e-a475-ed109d9ec508_SiteId">
    <vt:lpwstr>d5bb6d35-8a82-4329-b49a-5030bd6497ab</vt:lpwstr>
  </property>
  <property fmtid="{D5CDD505-2E9C-101B-9397-08002B2CF9AE}" pid="7" name="MSIP_Label_48a19f0c-bea1-442e-a475-ed109d9ec508_ContentBits">
    <vt:r8>0</vt:r8>
  </property>
  <property fmtid="{D5CDD505-2E9C-101B-9397-08002B2CF9AE}" pid="8" name="ContentTypeId">
    <vt:lpwstr>0x010100B46821FD91A3154B97F79302748EAE1F</vt:lpwstr>
  </property>
</Properties>
</file>